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05" yWindow="-105" windowWidth="20730" windowHeight="11760"/>
  </bookViews>
  <sheets>
    <sheet name="BIEU 96" sheetId="1" r:id="rId1"/>
    <sheet name="BIEU 97" sheetId="2" r:id="rId2"/>
    <sheet name="BIEU 98" sheetId="3" r:id="rId3"/>
    <sheet name="BIEU 99" sheetId="4" r:id="rId4"/>
    <sheet name="BIEU 100" sheetId="5" r:id="rId5"/>
    <sheet name="BIEU 101" sheetId="6" r:id="rId6"/>
    <sheet name="BIEU 102" sheetId="7" r:id="rId7"/>
  </sheets>
  <externalReferences>
    <externalReference r:id="rId8"/>
    <externalReference r:id="rId9"/>
  </externalReferences>
  <definedNames>
    <definedName name="_xlnm.Print_Titles" localSheetId="4">'BIEU 100'!$5:$9</definedName>
    <definedName name="_xlnm.Print_Titles" localSheetId="6">'BIEU 102'!$5:$10</definedName>
    <definedName name="_xlnm.Print_Titles" localSheetId="1">'BIEU 97'!$5:$6</definedName>
    <definedName name="_xlnm.Print_Titles" localSheetId="2">'BIEU 98'!$6:$7</definedName>
    <definedName name="_xlnm.Print_Titles" localSheetId="3">'BIEU 99'!$5:$7</definedName>
  </definedNames>
  <calcPr calcId="144525"/>
</workbook>
</file>

<file path=xl/calcChain.xml><?xml version="1.0" encoding="utf-8"?>
<calcChain xmlns="http://schemas.openxmlformats.org/spreadsheetml/2006/main">
  <c r="M118" i="7" l="1"/>
  <c r="I118" i="7" s="1"/>
  <c r="I117" i="7" s="1"/>
  <c r="G118" i="7"/>
  <c r="C118" i="7"/>
  <c r="C117" i="7" s="1"/>
  <c r="O117" i="7"/>
  <c r="N117" i="7"/>
  <c r="L117" i="7"/>
  <c r="K117" i="7"/>
  <c r="J117" i="7"/>
  <c r="G117" i="7"/>
  <c r="E117" i="7"/>
  <c r="D117" i="7"/>
  <c r="M116" i="7"/>
  <c r="I116" i="7" s="1"/>
  <c r="H116" i="7"/>
  <c r="G116" i="7"/>
  <c r="C116" i="7"/>
  <c r="M115" i="7"/>
  <c r="H115" i="7" s="1"/>
  <c r="R115" i="7" s="1"/>
  <c r="J115" i="7"/>
  <c r="I115" i="7"/>
  <c r="G115" i="7"/>
  <c r="C115" i="7"/>
  <c r="O114" i="7"/>
  <c r="N114" i="7"/>
  <c r="M114" i="7"/>
  <c r="L114" i="7"/>
  <c r="K114" i="7"/>
  <c r="J114" i="7"/>
  <c r="E114" i="7"/>
  <c r="D114" i="7"/>
  <c r="M113" i="7"/>
  <c r="H113" i="7" s="1"/>
  <c r="H111" i="7" s="1"/>
  <c r="R111" i="7" s="1"/>
  <c r="J113" i="7"/>
  <c r="C113" i="7"/>
  <c r="M112" i="7"/>
  <c r="J112" i="7"/>
  <c r="H112" i="7"/>
  <c r="R112" i="7" s="1"/>
  <c r="C112" i="7"/>
  <c r="C111" i="7" s="1"/>
  <c r="O111" i="7"/>
  <c r="N111" i="7"/>
  <c r="L111" i="7"/>
  <c r="K111" i="7"/>
  <c r="E111" i="7"/>
  <c r="D111" i="7"/>
  <c r="M110" i="7"/>
  <c r="H110" i="7" s="1"/>
  <c r="F110" i="7" s="1"/>
  <c r="J110" i="7"/>
  <c r="G110" i="7" s="1"/>
  <c r="I110" i="7"/>
  <c r="C110" i="7"/>
  <c r="M109" i="7"/>
  <c r="H109" i="7" s="1"/>
  <c r="J109" i="7"/>
  <c r="J108" i="7" s="1"/>
  <c r="G109" i="7"/>
  <c r="F109" i="7" s="1"/>
  <c r="P109" i="7" s="1"/>
  <c r="C109" i="7"/>
  <c r="O108" i="7"/>
  <c r="N108" i="7"/>
  <c r="L108" i="7"/>
  <c r="K108" i="7"/>
  <c r="E108" i="7"/>
  <c r="D108" i="7"/>
  <c r="C108" i="7"/>
  <c r="M107" i="7"/>
  <c r="J107" i="7"/>
  <c r="I107" i="7" s="1"/>
  <c r="H107" i="7"/>
  <c r="C107" i="7"/>
  <c r="M106" i="7"/>
  <c r="J106" i="7"/>
  <c r="G106" i="7" s="1"/>
  <c r="H106" i="7"/>
  <c r="R106" i="7" s="1"/>
  <c r="C106" i="7"/>
  <c r="M105" i="7"/>
  <c r="H105" i="7" s="1"/>
  <c r="J105" i="7"/>
  <c r="I105" i="7"/>
  <c r="G105" i="7"/>
  <c r="C105" i="7"/>
  <c r="O104" i="7"/>
  <c r="N104" i="7"/>
  <c r="L104" i="7"/>
  <c r="K104" i="7"/>
  <c r="E104" i="7"/>
  <c r="D104" i="7"/>
  <c r="M103" i="7"/>
  <c r="J103" i="7"/>
  <c r="I103" i="7" s="1"/>
  <c r="H103" i="7"/>
  <c r="C103" i="7"/>
  <c r="C101" i="7" s="1"/>
  <c r="M102" i="7"/>
  <c r="J102" i="7"/>
  <c r="J101" i="7" s="1"/>
  <c r="H102" i="7"/>
  <c r="C102" i="7"/>
  <c r="O101" i="7"/>
  <c r="N101" i="7"/>
  <c r="M101" i="7"/>
  <c r="L101" i="7"/>
  <c r="K101" i="7"/>
  <c r="E101" i="7"/>
  <c r="D101" i="7"/>
  <c r="M100" i="7"/>
  <c r="J100" i="7"/>
  <c r="I100" i="7" s="1"/>
  <c r="H100" i="7"/>
  <c r="G100" i="7"/>
  <c r="F100" i="7" s="1"/>
  <c r="C100" i="7"/>
  <c r="M99" i="7"/>
  <c r="H99" i="7" s="1"/>
  <c r="H98" i="7" s="1"/>
  <c r="J99" i="7"/>
  <c r="I99" i="7"/>
  <c r="I98" i="7" s="1"/>
  <c r="G99" i="7"/>
  <c r="C99" i="7"/>
  <c r="C98" i="7" s="1"/>
  <c r="O98" i="7"/>
  <c r="N98" i="7"/>
  <c r="M98" i="7"/>
  <c r="L98" i="7"/>
  <c r="K98" i="7"/>
  <c r="E98" i="7"/>
  <c r="D98" i="7"/>
  <c r="M97" i="7"/>
  <c r="H97" i="7" s="1"/>
  <c r="J97" i="7"/>
  <c r="G97" i="7"/>
  <c r="F97" i="7" s="1"/>
  <c r="C97" i="7"/>
  <c r="M96" i="7"/>
  <c r="M95" i="7" s="1"/>
  <c r="J96" i="7"/>
  <c r="H96" i="7"/>
  <c r="H95" i="7" s="1"/>
  <c r="G96" i="7"/>
  <c r="F96" i="7"/>
  <c r="P96" i="7" s="1"/>
  <c r="C96" i="7"/>
  <c r="O95" i="7"/>
  <c r="N95" i="7"/>
  <c r="L95" i="7"/>
  <c r="K95" i="7"/>
  <c r="E95" i="7"/>
  <c r="R95" i="7" s="1"/>
  <c r="D95" i="7"/>
  <c r="C95" i="7"/>
  <c r="M94" i="7"/>
  <c r="J94" i="7"/>
  <c r="H94" i="7"/>
  <c r="C94" i="7"/>
  <c r="M93" i="7"/>
  <c r="J93" i="7"/>
  <c r="I93" i="7" s="1"/>
  <c r="C93" i="7"/>
  <c r="O92" i="7"/>
  <c r="N92" i="7"/>
  <c r="L92" i="7"/>
  <c r="K92" i="7"/>
  <c r="E92" i="7"/>
  <c r="D92" i="7"/>
  <c r="C92" i="7"/>
  <c r="M91" i="7"/>
  <c r="J91" i="7"/>
  <c r="I91" i="7" s="1"/>
  <c r="H91" i="7"/>
  <c r="C91" i="7"/>
  <c r="M90" i="7"/>
  <c r="H90" i="7" s="1"/>
  <c r="R90" i="7" s="1"/>
  <c r="J90" i="7"/>
  <c r="G90" i="7" s="1"/>
  <c r="I90" i="7"/>
  <c r="C90" i="7"/>
  <c r="O89" i="7"/>
  <c r="N89" i="7"/>
  <c r="L89" i="7"/>
  <c r="K89" i="7"/>
  <c r="J89" i="7"/>
  <c r="E89" i="7"/>
  <c r="D89" i="7"/>
  <c r="C89" i="7"/>
  <c r="M88" i="7"/>
  <c r="H88" i="7" s="1"/>
  <c r="J88" i="7"/>
  <c r="I88" i="7" s="1"/>
  <c r="C88" i="7"/>
  <c r="M87" i="7"/>
  <c r="J87" i="7"/>
  <c r="I87" i="7"/>
  <c r="G87" i="7"/>
  <c r="C87" i="7"/>
  <c r="M86" i="7"/>
  <c r="H86" i="7" s="1"/>
  <c r="R86" i="7" s="1"/>
  <c r="J86" i="7"/>
  <c r="G86" i="7" s="1"/>
  <c r="I86" i="7"/>
  <c r="I85" i="7" s="1"/>
  <c r="C86" i="7"/>
  <c r="C85" i="7" s="1"/>
  <c r="O85" i="7"/>
  <c r="N85" i="7"/>
  <c r="L85" i="7"/>
  <c r="K85" i="7"/>
  <c r="E85" i="7"/>
  <c r="D85" i="7"/>
  <c r="M84" i="7"/>
  <c r="H84" i="7" s="1"/>
  <c r="J84" i="7"/>
  <c r="G84" i="7" s="1"/>
  <c r="C84" i="7"/>
  <c r="M83" i="7"/>
  <c r="J83" i="7"/>
  <c r="G83" i="7" s="1"/>
  <c r="E83" i="7"/>
  <c r="E81" i="7" s="1"/>
  <c r="M82" i="7"/>
  <c r="J82" i="7"/>
  <c r="C82" i="7"/>
  <c r="O81" i="7"/>
  <c r="N81" i="7"/>
  <c r="L81" i="7"/>
  <c r="K81" i="7"/>
  <c r="D81" i="7"/>
  <c r="M80" i="7"/>
  <c r="H80" i="7" s="1"/>
  <c r="J80" i="7"/>
  <c r="I80" i="7" s="1"/>
  <c r="G80" i="7"/>
  <c r="C80" i="7"/>
  <c r="M79" i="7"/>
  <c r="J79" i="7"/>
  <c r="G79" i="7" s="1"/>
  <c r="I79" i="7"/>
  <c r="H79" i="7"/>
  <c r="E79" i="7"/>
  <c r="M78" i="7"/>
  <c r="J78" i="7"/>
  <c r="I78" i="7" s="1"/>
  <c r="H78" i="7"/>
  <c r="R78" i="7" s="1"/>
  <c r="G78" i="7"/>
  <c r="F78" i="7" s="1"/>
  <c r="C78" i="7"/>
  <c r="O77" i="7"/>
  <c r="N77" i="7"/>
  <c r="M77" i="7"/>
  <c r="L77" i="7"/>
  <c r="K77" i="7"/>
  <c r="E77" i="7"/>
  <c r="D77" i="7"/>
  <c r="M76" i="7"/>
  <c r="J76" i="7"/>
  <c r="G76" i="7" s="1"/>
  <c r="I76" i="7"/>
  <c r="H76" i="7"/>
  <c r="C76" i="7"/>
  <c r="M75" i="7"/>
  <c r="H75" i="7" s="1"/>
  <c r="R75" i="7" s="1"/>
  <c r="J75" i="7"/>
  <c r="C75" i="7"/>
  <c r="M74" i="7"/>
  <c r="J74" i="7"/>
  <c r="I74" i="7" s="1"/>
  <c r="H74" i="7"/>
  <c r="R74" i="7" s="1"/>
  <c r="G74" i="7"/>
  <c r="C74" i="7"/>
  <c r="O73" i="7"/>
  <c r="N73" i="7"/>
  <c r="M73" i="7"/>
  <c r="L73" i="7"/>
  <c r="K73" i="7"/>
  <c r="E73" i="7"/>
  <c r="D73" i="7"/>
  <c r="C73" i="7"/>
  <c r="M72" i="7"/>
  <c r="J72" i="7"/>
  <c r="G72" i="7" s="1"/>
  <c r="H72" i="7"/>
  <c r="C72" i="7"/>
  <c r="M71" i="7"/>
  <c r="J71" i="7"/>
  <c r="I71" i="7" s="1"/>
  <c r="C71" i="7"/>
  <c r="O70" i="7"/>
  <c r="N70" i="7"/>
  <c r="L70" i="7"/>
  <c r="K70" i="7"/>
  <c r="K69" i="7" s="1"/>
  <c r="K68" i="7" s="1"/>
  <c r="K67" i="7" s="1"/>
  <c r="E70" i="7"/>
  <c r="D70" i="7"/>
  <c r="C70" i="7"/>
  <c r="N69" i="7"/>
  <c r="N68" i="7" s="1"/>
  <c r="N67" i="7" s="1"/>
  <c r="M66" i="7"/>
  <c r="J66" i="7"/>
  <c r="H66" i="7"/>
  <c r="R66" i="7" s="1"/>
  <c r="G66" i="7"/>
  <c r="F66" i="7" s="1"/>
  <c r="F65" i="7" s="1"/>
  <c r="C66" i="7"/>
  <c r="O65" i="7"/>
  <c r="N65" i="7"/>
  <c r="M65" i="7"/>
  <c r="L65" i="7"/>
  <c r="K65" i="7"/>
  <c r="H65" i="7"/>
  <c r="E65" i="7"/>
  <c r="D65" i="7"/>
  <c r="C65" i="7"/>
  <c r="M64" i="7"/>
  <c r="J64" i="7"/>
  <c r="G64" i="7" s="1"/>
  <c r="H64" i="7"/>
  <c r="M63" i="7"/>
  <c r="J63" i="7"/>
  <c r="G63" i="7" s="1"/>
  <c r="F63" i="7" s="1"/>
  <c r="H63" i="7"/>
  <c r="C63" i="7"/>
  <c r="C62" i="7" s="1"/>
  <c r="O62" i="7"/>
  <c r="N62" i="7"/>
  <c r="M62" i="7"/>
  <c r="L62" i="7"/>
  <c r="K62" i="7"/>
  <c r="J62" i="7"/>
  <c r="G62" i="7"/>
  <c r="E62" i="7"/>
  <c r="D62" i="7"/>
  <c r="M61" i="7"/>
  <c r="E61" i="7"/>
  <c r="C61" i="7"/>
  <c r="M60" i="7"/>
  <c r="I60" i="7"/>
  <c r="H60" i="7"/>
  <c r="F60" i="7" s="1"/>
  <c r="C60" i="7"/>
  <c r="M59" i="7"/>
  <c r="H59" i="7" s="1"/>
  <c r="J59" i="7"/>
  <c r="I59" i="7" s="1"/>
  <c r="G59" i="7"/>
  <c r="F59" i="7" s="1"/>
  <c r="E59" i="7"/>
  <c r="C59" i="7" s="1"/>
  <c r="M58" i="7"/>
  <c r="H58" i="7" s="1"/>
  <c r="J58" i="7"/>
  <c r="I58" i="7" s="1"/>
  <c r="E58" i="7"/>
  <c r="C58" i="7" s="1"/>
  <c r="R57" i="7"/>
  <c r="M57" i="7"/>
  <c r="M56" i="7" s="1"/>
  <c r="J57" i="7"/>
  <c r="H57" i="7"/>
  <c r="G57" i="7"/>
  <c r="F57" i="7" s="1"/>
  <c r="E57" i="7"/>
  <c r="E56" i="7" s="1"/>
  <c r="E55" i="7" s="1"/>
  <c r="E54" i="7" s="1"/>
  <c r="C57" i="7"/>
  <c r="C56" i="7" s="1"/>
  <c r="C55" i="7" s="1"/>
  <c r="C54" i="7" s="1"/>
  <c r="O56" i="7"/>
  <c r="O55" i="7" s="1"/>
  <c r="N56" i="7"/>
  <c r="L56" i="7"/>
  <c r="K56" i="7"/>
  <c r="K55" i="7" s="1"/>
  <c r="K54" i="7" s="1"/>
  <c r="J56" i="7"/>
  <c r="D56" i="7"/>
  <c r="N55" i="7"/>
  <c r="N54" i="7" s="1"/>
  <c r="M55" i="7"/>
  <c r="O54" i="7"/>
  <c r="M54" i="7"/>
  <c r="J53" i="7"/>
  <c r="G53" i="7" s="1"/>
  <c r="Q53" i="7" s="1"/>
  <c r="C53" i="7"/>
  <c r="J52" i="7"/>
  <c r="I52" i="7"/>
  <c r="G52" i="7"/>
  <c r="C52" i="7"/>
  <c r="J51" i="7"/>
  <c r="I51" i="7" s="1"/>
  <c r="G51" i="7"/>
  <c r="Q51" i="7" s="1"/>
  <c r="C51" i="7"/>
  <c r="M50" i="7"/>
  <c r="J50" i="7"/>
  <c r="I50" i="7" s="1"/>
  <c r="G50" i="7"/>
  <c r="Q50" i="7" s="1"/>
  <c r="C50" i="7"/>
  <c r="M49" i="7"/>
  <c r="J49" i="7"/>
  <c r="I49" i="7" s="1"/>
  <c r="G49" i="7"/>
  <c r="Q49" i="7" s="1"/>
  <c r="C49" i="7"/>
  <c r="M48" i="7"/>
  <c r="J48" i="7"/>
  <c r="I48" i="7" s="1"/>
  <c r="G48" i="7"/>
  <c r="Q48" i="7" s="1"/>
  <c r="C48" i="7"/>
  <c r="M47" i="7"/>
  <c r="J47" i="7"/>
  <c r="I47" i="7" s="1"/>
  <c r="G47" i="7"/>
  <c r="Q47" i="7" s="1"/>
  <c r="C47" i="7"/>
  <c r="M46" i="7"/>
  <c r="J46" i="7"/>
  <c r="I46" i="7" s="1"/>
  <c r="G46" i="7"/>
  <c r="Q46" i="7" s="1"/>
  <c r="C46" i="7"/>
  <c r="M45" i="7"/>
  <c r="J45" i="7"/>
  <c r="I45" i="7" s="1"/>
  <c r="G45" i="7"/>
  <c r="Q45" i="7" s="1"/>
  <c r="C45" i="7"/>
  <c r="M44" i="7"/>
  <c r="J44" i="7"/>
  <c r="I44" i="7" s="1"/>
  <c r="G44" i="7"/>
  <c r="Q44" i="7" s="1"/>
  <c r="C44" i="7"/>
  <c r="M43" i="7"/>
  <c r="J43" i="7"/>
  <c r="I43" i="7" s="1"/>
  <c r="G43" i="7"/>
  <c r="Q43" i="7" s="1"/>
  <c r="C43" i="7"/>
  <c r="M42" i="7"/>
  <c r="J42" i="7"/>
  <c r="I42" i="7" s="1"/>
  <c r="G42" i="7"/>
  <c r="Q42" i="7" s="1"/>
  <c r="C42" i="7"/>
  <c r="M41" i="7"/>
  <c r="J41" i="7"/>
  <c r="I41" i="7" s="1"/>
  <c r="G41" i="7"/>
  <c r="Q41" i="7" s="1"/>
  <c r="C41" i="7"/>
  <c r="M40" i="7"/>
  <c r="J40" i="7"/>
  <c r="I40" i="7" s="1"/>
  <c r="G40" i="7"/>
  <c r="Q40" i="7" s="1"/>
  <c r="C40" i="7"/>
  <c r="J39" i="7"/>
  <c r="I39" i="7" s="1"/>
  <c r="G39" i="7"/>
  <c r="F39" i="7" s="1"/>
  <c r="P39" i="7" s="1"/>
  <c r="C39" i="7"/>
  <c r="M38" i="7"/>
  <c r="I38" i="7" s="1"/>
  <c r="J38" i="7"/>
  <c r="G38" i="7"/>
  <c r="Q38" i="7" s="1"/>
  <c r="C38" i="7"/>
  <c r="M37" i="7"/>
  <c r="I37" i="7" s="1"/>
  <c r="J37" i="7"/>
  <c r="H37" i="7"/>
  <c r="R37" i="7" s="1"/>
  <c r="G37" i="7"/>
  <c r="F37" i="7"/>
  <c r="C37" i="7"/>
  <c r="O36" i="7"/>
  <c r="N36" i="7"/>
  <c r="M36" i="7"/>
  <c r="L36" i="7"/>
  <c r="K36" i="7"/>
  <c r="E36" i="7"/>
  <c r="D36" i="7"/>
  <c r="M35" i="7"/>
  <c r="H35" i="7" s="1"/>
  <c r="J35" i="7"/>
  <c r="I35" i="7" s="1"/>
  <c r="I34" i="7" s="1"/>
  <c r="C35" i="7"/>
  <c r="O34" i="7"/>
  <c r="N34" i="7"/>
  <c r="L34" i="7"/>
  <c r="K34" i="7"/>
  <c r="E34" i="7"/>
  <c r="D34" i="7"/>
  <c r="C34" i="7"/>
  <c r="M33" i="7"/>
  <c r="J33" i="7"/>
  <c r="G33" i="7" s="1"/>
  <c r="F33" i="7" s="1"/>
  <c r="H33" i="7"/>
  <c r="C33" i="7"/>
  <c r="M32" i="7"/>
  <c r="J32" i="7"/>
  <c r="I32" i="7" s="1"/>
  <c r="C32" i="7"/>
  <c r="O31" i="7"/>
  <c r="N31" i="7"/>
  <c r="L31" i="7"/>
  <c r="K31" i="7"/>
  <c r="E31" i="7"/>
  <c r="D31" i="7"/>
  <c r="C31" i="7"/>
  <c r="M30" i="7"/>
  <c r="J30" i="7"/>
  <c r="G30" i="7" s="1"/>
  <c r="G29" i="7" s="1"/>
  <c r="C30" i="7"/>
  <c r="C29" i="7" s="1"/>
  <c r="O29" i="7"/>
  <c r="N29" i="7"/>
  <c r="L29" i="7"/>
  <c r="K29" i="7"/>
  <c r="E29" i="7"/>
  <c r="D29" i="7"/>
  <c r="M28" i="7"/>
  <c r="I28" i="7"/>
  <c r="H28" i="7"/>
  <c r="F28" i="7" s="1"/>
  <c r="C28" i="7"/>
  <c r="M27" i="7"/>
  <c r="H27" i="7" s="1"/>
  <c r="J27" i="7"/>
  <c r="G27" i="7" s="1"/>
  <c r="C27" i="7"/>
  <c r="M26" i="7"/>
  <c r="I26" i="7" s="1"/>
  <c r="J26" i="7"/>
  <c r="G26" i="7"/>
  <c r="C26" i="7"/>
  <c r="O25" i="7"/>
  <c r="N25" i="7"/>
  <c r="L25" i="7"/>
  <c r="K25" i="7"/>
  <c r="J25" i="7"/>
  <c r="E25" i="7"/>
  <c r="D25" i="7"/>
  <c r="M24" i="7"/>
  <c r="J24" i="7"/>
  <c r="G24" i="7" s="1"/>
  <c r="H24" i="7"/>
  <c r="R24" i="7" s="1"/>
  <c r="C24" i="7"/>
  <c r="M23" i="7"/>
  <c r="H23" i="7" s="1"/>
  <c r="R23" i="7" s="1"/>
  <c r="J23" i="7"/>
  <c r="G23" i="7" s="1"/>
  <c r="I23" i="7"/>
  <c r="C23" i="7"/>
  <c r="M22" i="7"/>
  <c r="H22" i="7" s="1"/>
  <c r="R22" i="7" s="1"/>
  <c r="J22" i="7"/>
  <c r="E22" i="7"/>
  <c r="C22" i="7" s="1"/>
  <c r="M21" i="7"/>
  <c r="J21" i="7"/>
  <c r="I21" i="7" s="1"/>
  <c r="H21" i="7"/>
  <c r="R21" i="7" s="1"/>
  <c r="E21" i="7"/>
  <c r="C21" i="7" s="1"/>
  <c r="C20" i="7" s="1"/>
  <c r="O20" i="7"/>
  <c r="N20" i="7"/>
  <c r="M20" i="7"/>
  <c r="L20" i="7"/>
  <c r="K20" i="7"/>
  <c r="D20" i="7"/>
  <c r="C19" i="7"/>
  <c r="R18" i="7"/>
  <c r="F18" i="7"/>
  <c r="C18" i="7"/>
  <c r="M17" i="7"/>
  <c r="H17" i="7" s="1"/>
  <c r="H16" i="7" s="1"/>
  <c r="J17" i="7"/>
  <c r="E17" i="7"/>
  <c r="C17" i="7" s="1"/>
  <c r="O16" i="7"/>
  <c r="N16" i="7"/>
  <c r="M16" i="7"/>
  <c r="L16" i="7"/>
  <c r="K16" i="7"/>
  <c r="K15" i="7" s="1"/>
  <c r="K14" i="7" s="1"/>
  <c r="K13" i="7" s="1"/>
  <c r="E16" i="7"/>
  <c r="D16" i="7"/>
  <c r="C16" i="7"/>
  <c r="D15" i="7"/>
  <c r="D12" i="7"/>
  <c r="E12" i="7" s="1"/>
  <c r="F12" i="7" s="1"/>
  <c r="G12" i="7" s="1"/>
  <c r="H12" i="7" s="1"/>
  <c r="I12" i="7" s="1"/>
  <c r="J12" i="7" s="1"/>
  <c r="K12" i="7" s="1"/>
  <c r="L12" i="7" s="1"/>
  <c r="M12" i="7" s="1"/>
  <c r="N12" i="7" s="1"/>
  <c r="O12" i="7" s="1"/>
  <c r="M14" i="6"/>
  <c r="H29" i="6"/>
  <c r="T29" i="6" s="1"/>
  <c r="H28" i="6"/>
  <c r="T28" i="6" s="1"/>
  <c r="H27" i="6"/>
  <c r="T27" i="6" s="1"/>
  <c r="H26" i="6"/>
  <c r="T26" i="6" s="1"/>
  <c r="H25" i="6"/>
  <c r="T25" i="6" s="1"/>
  <c r="H24" i="6"/>
  <c r="T24" i="6" s="1"/>
  <c r="H23" i="6"/>
  <c r="T23" i="6" s="1"/>
  <c r="H22" i="6"/>
  <c r="T22" i="6" s="1"/>
  <c r="H21" i="6"/>
  <c r="T21" i="6" s="1"/>
  <c r="H20" i="6"/>
  <c r="T20" i="6" s="1"/>
  <c r="H19" i="6"/>
  <c r="T19" i="6" s="1"/>
  <c r="H18" i="6"/>
  <c r="T18" i="6" s="1"/>
  <c r="H17" i="6"/>
  <c r="T17" i="6" s="1"/>
  <c r="H16" i="6"/>
  <c r="T16" i="6" s="1"/>
  <c r="H15" i="6"/>
  <c r="T15" i="6" s="1"/>
  <c r="N139" i="5"/>
  <c r="K139" i="5"/>
  <c r="F139" i="5" s="1"/>
  <c r="C139" i="5"/>
  <c r="K138" i="5"/>
  <c r="H138" i="5" s="1"/>
  <c r="F138" i="5" s="1"/>
  <c r="E138" i="5"/>
  <c r="C138" i="5" s="1"/>
  <c r="K137" i="5"/>
  <c r="F137" i="5"/>
  <c r="C137" i="5"/>
  <c r="K136" i="5"/>
  <c r="F136" i="5" s="1"/>
  <c r="C136" i="5"/>
  <c r="K135" i="5"/>
  <c r="H135" i="5"/>
  <c r="C135" i="5"/>
  <c r="K134" i="5"/>
  <c r="F134" i="5" s="1"/>
  <c r="C134" i="5"/>
  <c r="N133" i="5"/>
  <c r="M133" i="5"/>
  <c r="K133" i="5" s="1"/>
  <c r="F133" i="5" s="1"/>
  <c r="H133" i="5"/>
  <c r="E133" i="5"/>
  <c r="C133" i="5" s="1"/>
  <c r="N132" i="5"/>
  <c r="M132" i="5"/>
  <c r="K132" i="5" s="1"/>
  <c r="H132" i="5"/>
  <c r="E132" i="5"/>
  <c r="C132" i="5" s="1"/>
  <c r="N131" i="5"/>
  <c r="M131" i="5"/>
  <c r="K131" i="5" s="1"/>
  <c r="H131" i="5"/>
  <c r="E131" i="5"/>
  <c r="C131" i="5" s="1"/>
  <c r="N130" i="5"/>
  <c r="M130" i="5"/>
  <c r="K130" i="5"/>
  <c r="H130" i="5"/>
  <c r="E130" i="5"/>
  <c r="C130" i="5" s="1"/>
  <c r="N129" i="5"/>
  <c r="M129" i="5"/>
  <c r="K129" i="5" s="1"/>
  <c r="H129" i="5"/>
  <c r="E129" i="5"/>
  <c r="C129" i="5" s="1"/>
  <c r="N128" i="5"/>
  <c r="M128" i="5"/>
  <c r="K128" i="5" s="1"/>
  <c r="H128" i="5"/>
  <c r="E128" i="5"/>
  <c r="C128" i="5" s="1"/>
  <c r="N127" i="5"/>
  <c r="M127" i="5"/>
  <c r="K127" i="5" s="1"/>
  <c r="H127" i="5"/>
  <c r="F127" i="5" s="1"/>
  <c r="E127" i="5"/>
  <c r="C127" i="5" s="1"/>
  <c r="N126" i="5"/>
  <c r="M126" i="5"/>
  <c r="K126" i="5" s="1"/>
  <c r="H126" i="5"/>
  <c r="E126" i="5"/>
  <c r="C126" i="5"/>
  <c r="N125" i="5"/>
  <c r="M125" i="5"/>
  <c r="K125" i="5" s="1"/>
  <c r="H125" i="5"/>
  <c r="G125" i="5"/>
  <c r="G118" i="5" s="1"/>
  <c r="E125" i="5"/>
  <c r="C125" i="5"/>
  <c r="N124" i="5"/>
  <c r="M124" i="5"/>
  <c r="K124" i="5" s="1"/>
  <c r="H124" i="5"/>
  <c r="E124" i="5"/>
  <c r="C124" i="5" s="1"/>
  <c r="N123" i="5"/>
  <c r="M123" i="5"/>
  <c r="K123" i="5" s="1"/>
  <c r="F123" i="5" s="1"/>
  <c r="H123" i="5"/>
  <c r="E123" i="5"/>
  <c r="C123" i="5" s="1"/>
  <c r="N122" i="5"/>
  <c r="M122" i="5"/>
  <c r="K122" i="5"/>
  <c r="H122" i="5"/>
  <c r="E122" i="5"/>
  <c r="C122" i="5" s="1"/>
  <c r="N121" i="5"/>
  <c r="M121" i="5"/>
  <c r="K121" i="5" s="1"/>
  <c r="H121" i="5"/>
  <c r="E121" i="5"/>
  <c r="C121" i="5" s="1"/>
  <c r="N120" i="5"/>
  <c r="M120" i="5"/>
  <c r="K120" i="5" s="1"/>
  <c r="H120" i="5"/>
  <c r="E120" i="5"/>
  <c r="C120" i="5" s="1"/>
  <c r="N119" i="5"/>
  <c r="M119" i="5"/>
  <c r="K119" i="5" s="1"/>
  <c r="H119" i="5"/>
  <c r="H118" i="5" s="1"/>
  <c r="E119" i="5"/>
  <c r="C119" i="5" s="1"/>
  <c r="L118" i="5"/>
  <c r="J118" i="5"/>
  <c r="I118" i="5"/>
  <c r="D118" i="5"/>
  <c r="N117" i="5"/>
  <c r="K117" i="5"/>
  <c r="H117" i="5"/>
  <c r="E117" i="5"/>
  <c r="C117" i="5" s="1"/>
  <c r="H116" i="5"/>
  <c r="F116" i="5" s="1"/>
  <c r="E116" i="5"/>
  <c r="H115" i="5"/>
  <c r="E115" i="5"/>
  <c r="C115" i="5" s="1"/>
  <c r="N114" i="5"/>
  <c r="N111" i="5" s="1"/>
  <c r="K114" i="5"/>
  <c r="H114" i="5"/>
  <c r="E114" i="5"/>
  <c r="C114" i="5" s="1"/>
  <c r="N113" i="5"/>
  <c r="K113" i="5"/>
  <c r="F113" i="5" s="1"/>
  <c r="H113" i="5"/>
  <c r="E113" i="5"/>
  <c r="C113" i="5" s="1"/>
  <c r="N112" i="5"/>
  <c r="K112" i="5"/>
  <c r="H112" i="5"/>
  <c r="E112" i="5"/>
  <c r="C112" i="5" s="1"/>
  <c r="M111" i="5"/>
  <c r="L111" i="5"/>
  <c r="J111" i="5"/>
  <c r="I111" i="5"/>
  <c r="G111" i="5"/>
  <c r="D111" i="5"/>
  <c r="K110" i="5"/>
  <c r="H110" i="5"/>
  <c r="F110" i="5" s="1"/>
  <c r="E110" i="5"/>
  <c r="C110" i="5" s="1"/>
  <c r="N109" i="5"/>
  <c r="N108" i="5" s="1"/>
  <c r="M109" i="5"/>
  <c r="K109" i="5" s="1"/>
  <c r="C109" i="5"/>
  <c r="M108" i="5"/>
  <c r="L108" i="5"/>
  <c r="J108" i="5"/>
  <c r="I108" i="5"/>
  <c r="G108" i="5"/>
  <c r="D108" i="5"/>
  <c r="N107" i="5"/>
  <c r="K107" i="5"/>
  <c r="H107" i="5"/>
  <c r="E107" i="5"/>
  <c r="C107" i="5" s="1"/>
  <c r="N106" i="5"/>
  <c r="K106" i="5"/>
  <c r="H106" i="5"/>
  <c r="E106" i="5"/>
  <c r="C106" i="5" s="1"/>
  <c r="K105" i="5"/>
  <c r="H105" i="5"/>
  <c r="E105" i="5"/>
  <c r="C105" i="5" s="1"/>
  <c r="K104" i="5"/>
  <c r="H104" i="5"/>
  <c r="E104" i="5"/>
  <c r="E103" i="5" s="1"/>
  <c r="N103" i="5"/>
  <c r="M103" i="5"/>
  <c r="L103" i="5"/>
  <c r="J103" i="5"/>
  <c r="I103" i="5"/>
  <c r="G103" i="5"/>
  <c r="D103" i="5"/>
  <c r="K102" i="5"/>
  <c r="H102" i="5"/>
  <c r="F102" i="5"/>
  <c r="O102" i="5" s="1"/>
  <c r="E102" i="5"/>
  <c r="C102" i="5" s="1"/>
  <c r="K101" i="5"/>
  <c r="H101" i="5"/>
  <c r="E101" i="5"/>
  <c r="Q101" i="5" s="1"/>
  <c r="N100" i="5"/>
  <c r="K100" i="5"/>
  <c r="H100" i="5"/>
  <c r="E100" i="5"/>
  <c r="C100" i="5" s="1"/>
  <c r="N99" i="5"/>
  <c r="K99" i="5"/>
  <c r="H99" i="5"/>
  <c r="F99" i="5" s="1"/>
  <c r="E99" i="5"/>
  <c r="C99" i="5"/>
  <c r="N98" i="5"/>
  <c r="K98" i="5"/>
  <c r="H98" i="5"/>
  <c r="E98" i="5"/>
  <c r="C98" i="5" s="1"/>
  <c r="N97" i="5"/>
  <c r="K97" i="5"/>
  <c r="H97" i="5"/>
  <c r="Q97" i="5" s="1"/>
  <c r="E97" i="5"/>
  <c r="C97" i="5"/>
  <c r="N96" i="5"/>
  <c r="K96" i="5"/>
  <c r="H96" i="5"/>
  <c r="E96" i="5"/>
  <c r="C96" i="5" s="1"/>
  <c r="N95" i="5"/>
  <c r="K95" i="5"/>
  <c r="H95" i="5"/>
  <c r="E95" i="5"/>
  <c r="C95" i="5" s="1"/>
  <c r="N94" i="5"/>
  <c r="K94" i="5"/>
  <c r="H94" i="5"/>
  <c r="E94" i="5"/>
  <c r="N93" i="5"/>
  <c r="K93" i="5"/>
  <c r="H93" i="5"/>
  <c r="E93" i="5"/>
  <c r="Q93" i="5" s="1"/>
  <c r="N92" i="5"/>
  <c r="K92" i="5"/>
  <c r="H92" i="5"/>
  <c r="E92" i="5"/>
  <c r="N91" i="5"/>
  <c r="K91" i="5"/>
  <c r="H91" i="5"/>
  <c r="E91" i="5"/>
  <c r="C91" i="5" s="1"/>
  <c r="K90" i="5"/>
  <c r="H90" i="5"/>
  <c r="Q90" i="5" s="1"/>
  <c r="E90" i="5"/>
  <c r="C90" i="5"/>
  <c r="K89" i="5"/>
  <c r="K88" i="5" s="1"/>
  <c r="H89" i="5"/>
  <c r="E89" i="5"/>
  <c r="C89" i="5" s="1"/>
  <c r="N88" i="5"/>
  <c r="M88" i="5"/>
  <c r="L88" i="5"/>
  <c r="J88" i="5"/>
  <c r="I88" i="5"/>
  <c r="G88" i="5"/>
  <c r="E88" i="5"/>
  <c r="D88" i="5"/>
  <c r="C88" i="5"/>
  <c r="K87" i="5"/>
  <c r="H87" i="5"/>
  <c r="F87" i="5" s="1"/>
  <c r="E87" i="5"/>
  <c r="C87" i="5"/>
  <c r="K86" i="5"/>
  <c r="H86" i="5"/>
  <c r="Q86" i="5" s="1"/>
  <c r="E86" i="5"/>
  <c r="C86" i="5" s="1"/>
  <c r="N85" i="5"/>
  <c r="M85" i="5"/>
  <c r="L85" i="5"/>
  <c r="K85" i="5"/>
  <c r="J85" i="5"/>
  <c r="I85" i="5"/>
  <c r="G85" i="5"/>
  <c r="D85" i="5"/>
  <c r="N84" i="5"/>
  <c r="M84" i="5"/>
  <c r="M77" i="5" s="1"/>
  <c r="C84" i="5"/>
  <c r="K83" i="5"/>
  <c r="H83" i="5"/>
  <c r="F83" i="5" s="1"/>
  <c r="E83" i="5"/>
  <c r="C83" i="5" s="1"/>
  <c r="N82" i="5"/>
  <c r="K82" i="5"/>
  <c r="H82" i="5"/>
  <c r="F82" i="5" s="1"/>
  <c r="E82" i="5"/>
  <c r="C82" i="5" s="1"/>
  <c r="N81" i="5"/>
  <c r="K81" i="5"/>
  <c r="H81" i="5"/>
  <c r="F81" i="5" s="1"/>
  <c r="E81" i="5"/>
  <c r="C81" i="5" s="1"/>
  <c r="N80" i="5"/>
  <c r="K80" i="5"/>
  <c r="H80" i="5"/>
  <c r="E80" i="5"/>
  <c r="C80" i="5" s="1"/>
  <c r="N79" i="5"/>
  <c r="K79" i="5"/>
  <c r="H79" i="5"/>
  <c r="E79" i="5"/>
  <c r="C79" i="5" s="1"/>
  <c r="N78" i="5"/>
  <c r="K78" i="5"/>
  <c r="H78" i="5"/>
  <c r="E78" i="5"/>
  <c r="L77" i="5"/>
  <c r="J77" i="5"/>
  <c r="I77" i="5"/>
  <c r="G77" i="5"/>
  <c r="D77" i="5"/>
  <c r="N76" i="5"/>
  <c r="K76" i="5"/>
  <c r="H76" i="5"/>
  <c r="E76" i="5"/>
  <c r="C76" i="5" s="1"/>
  <c r="N75" i="5"/>
  <c r="K75" i="5"/>
  <c r="H75" i="5"/>
  <c r="E75" i="5"/>
  <c r="C75" i="5" s="1"/>
  <c r="N74" i="5"/>
  <c r="N73" i="5" s="1"/>
  <c r="K74" i="5"/>
  <c r="H74" i="5"/>
  <c r="E74" i="5"/>
  <c r="C74" i="5" s="1"/>
  <c r="M73" i="5"/>
  <c r="L73" i="5"/>
  <c r="J73" i="5"/>
  <c r="I73" i="5"/>
  <c r="G73" i="5"/>
  <c r="E73" i="5"/>
  <c r="D73" i="5"/>
  <c r="N72" i="5"/>
  <c r="M72" i="5"/>
  <c r="K72" i="5" s="1"/>
  <c r="C72" i="5"/>
  <c r="N71" i="5"/>
  <c r="M71" i="5"/>
  <c r="K71" i="5" s="1"/>
  <c r="C71" i="5"/>
  <c r="N70" i="5"/>
  <c r="M70" i="5"/>
  <c r="K70" i="5" s="1"/>
  <c r="F70" i="5" s="1"/>
  <c r="C70" i="5"/>
  <c r="N69" i="5"/>
  <c r="K69" i="5"/>
  <c r="H69" i="5"/>
  <c r="E69" i="5"/>
  <c r="C69" i="5" s="1"/>
  <c r="N68" i="5"/>
  <c r="K68" i="5"/>
  <c r="H68" i="5"/>
  <c r="E68" i="5"/>
  <c r="C68" i="5" s="1"/>
  <c r="N67" i="5"/>
  <c r="K67" i="5"/>
  <c r="H67" i="5"/>
  <c r="E67" i="5"/>
  <c r="C67" i="5" s="1"/>
  <c r="N66" i="5"/>
  <c r="K66" i="5"/>
  <c r="H66" i="5"/>
  <c r="F66" i="5" s="1"/>
  <c r="E66" i="5"/>
  <c r="C66" i="5" s="1"/>
  <c r="N65" i="5"/>
  <c r="K65" i="5"/>
  <c r="H65" i="5"/>
  <c r="F65" i="5" s="1"/>
  <c r="E65" i="5"/>
  <c r="C65" i="5" s="1"/>
  <c r="N64" i="5"/>
  <c r="K64" i="5"/>
  <c r="H64" i="5"/>
  <c r="F64" i="5" s="1"/>
  <c r="E64" i="5"/>
  <c r="C64" i="5" s="1"/>
  <c r="N63" i="5"/>
  <c r="K63" i="5"/>
  <c r="H63" i="5"/>
  <c r="E63" i="5"/>
  <c r="C63" i="5"/>
  <c r="N62" i="5"/>
  <c r="K62" i="5"/>
  <c r="E62" i="5"/>
  <c r="C62" i="5"/>
  <c r="L61" i="5"/>
  <c r="J61" i="5"/>
  <c r="I61" i="5"/>
  <c r="G61" i="5"/>
  <c r="D61" i="5"/>
  <c r="H60" i="5"/>
  <c r="F60" i="5" s="1"/>
  <c r="E60" i="5"/>
  <c r="Q60" i="5" s="1"/>
  <c r="N59" i="5"/>
  <c r="N58" i="5" s="1"/>
  <c r="H59" i="5"/>
  <c r="E59" i="5"/>
  <c r="C59" i="5" s="1"/>
  <c r="M58" i="5"/>
  <c r="L58" i="5"/>
  <c r="K58" i="5"/>
  <c r="J58" i="5"/>
  <c r="I58" i="5"/>
  <c r="G58" i="5"/>
  <c r="D58" i="5"/>
  <c r="H57" i="5"/>
  <c r="F57" i="5" s="1"/>
  <c r="E57" i="5"/>
  <c r="C57" i="5" s="1"/>
  <c r="N56" i="5"/>
  <c r="F56" i="5" s="1"/>
  <c r="F55" i="5" s="1"/>
  <c r="H56" i="5"/>
  <c r="E56" i="5"/>
  <c r="C56" i="5" s="1"/>
  <c r="M55" i="5"/>
  <c r="L55" i="5"/>
  <c r="K55" i="5"/>
  <c r="J55" i="5"/>
  <c r="I55" i="5"/>
  <c r="G55" i="5"/>
  <c r="D55" i="5"/>
  <c r="H54" i="5"/>
  <c r="F54" i="5" s="1"/>
  <c r="E54" i="5"/>
  <c r="C54" i="5" s="1"/>
  <c r="N53" i="5"/>
  <c r="N52" i="5" s="1"/>
  <c r="H53" i="5"/>
  <c r="E53" i="5"/>
  <c r="C53" i="5" s="1"/>
  <c r="M52" i="5"/>
  <c r="L52" i="5"/>
  <c r="K52" i="5"/>
  <c r="J52" i="5"/>
  <c r="I52" i="5"/>
  <c r="G52" i="5"/>
  <c r="D52" i="5"/>
  <c r="N51" i="5"/>
  <c r="N48" i="5" s="1"/>
  <c r="M51" i="5"/>
  <c r="K51" i="5"/>
  <c r="H51" i="5" s="1"/>
  <c r="E51" i="5"/>
  <c r="C51" i="5"/>
  <c r="H50" i="5"/>
  <c r="F50" i="5"/>
  <c r="E50" i="5"/>
  <c r="C50" i="5"/>
  <c r="N49" i="5"/>
  <c r="K49" i="5"/>
  <c r="K48" i="5" s="1"/>
  <c r="H49" i="5"/>
  <c r="F49" i="5"/>
  <c r="E49" i="5"/>
  <c r="C49" i="5"/>
  <c r="C48" i="5" s="1"/>
  <c r="M48" i="5"/>
  <c r="L48" i="5"/>
  <c r="J48" i="5"/>
  <c r="I48" i="5"/>
  <c r="G48" i="5"/>
  <c r="E48" i="5"/>
  <c r="D48" i="5"/>
  <c r="N47" i="5"/>
  <c r="M47" i="5"/>
  <c r="K47" i="5" s="1"/>
  <c r="H47" i="5" s="1"/>
  <c r="E47" i="5"/>
  <c r="C47" i="5" s="1"/>
  <c r="H46" i="5"/>
  <c r="F46" i="5" s="1"/>
  <c r="E46" i="5"/>
  <c r="C46" i="5" s="1"/>
  <c r="H45" i="5"/>
  <c r="F45" i="5" s="1"/>
  <c r="E45" i="5"/>
  <c r="C45" i="5" s="1"/>
  <c r="H44" i="5"/>
  <c r="F44" i="5" s="1"/>
  <c r="E44" i="5"/>
  <c r="C44" i="5" s="1"/>
  <c r="N43" i="5"/>
  <c r="M43" i="5"/>
  <c r="M41" i="5" s="1"/>
  <c r="C43" i="5"/>
  <c r="N42" i="5"/>
  <c r="K42" i="5"/>
  <c r="H42" i="5"/>
  <c r="F42" i="5"/>
  <c r="E42" i="5"/>
  <c r="L41" i="5"/>
  <c r="J41" i="5"/>
  <c r="I41" i="5"/>
  <c r="G41" i="5"/>
  <c r="D41" i="5"/>
  <c r="N40" i="5"/>
  <c r="K40" i="5"/>
  <c r="H40" i="5"/>
  <c r="E40" i="5"/>
  <c r="C40" i="5" s="1"/>
  <c r="H39" i="5"/>
  <c r="E39" i="5"/>
  <c r="C39" i="5" s="1"/>
  <c r="N38" i="5"/>
  <c r="K38" i="5"/>
  <c r="H38" i="5"/>
  <c r="Q38" i="5" s="1"/>
  <c r="E38" i="5"/>
  <c r="C38" i="5"/>
  <c r="K37" i="5"/>
  <c r="F37" i="5"/>
  <c r="C37" i="5"/>
  <c r="N36" i="5"/>
  <c r="K36" i="5"/>
  <c r="H36" i="5"/>
  <c r="E36" i="5"/>
  <c r="M35" i="5"/>
  <c r="L35" i="5"/>
  <c r="J35" i="5"/>
  <c r="I35" i="5"/>
  <c r="H35" i="5"/>
  <c r="G35" i="5"/>
  <c r="E35" i="5"/>
  <c r="Q35" i="5" s="1"/>
  <c r="D35" i="5"/>
  <c r="N34" i="5"/>
  <c r="K34" i="5"/>
  <c r="H34" i="5"/>
  <c r="F34" i="5" s="1"/>
  <c r="E34" i="5"/>
  <c r="C34" i="5" s="1"/>
  <c r="K33" i="5"/>
  <c r="H33" i="5"/>
  <c r="E33" i="5"/>
  <c r="C33" i="5" s="1"/>
  <c r="N32" i="5"/>
  <c r="K32" i="5"/>
  <c r="H32" i="5"/>
  <c r="E32" i="5"/>
  <c r="C32" i="5" s="1"/>
  <c r="N31" i="5"/>
  <c r="K31" i="5"/>
  <c r="H31" i="5"/>
  <c r="Q31" i="5" s="1"/>
  <c r="E31" i="5"/>
  <c r="C31" i="5"/>
  <c r="K30" i="5"/>
  <c r="H30" i="5"/>
  <c r="Q30" i="5" s="1"/>
  <c r="E30" i="5"/>
  <c r="C30" i="5" s="1"/>
  <c r="N29" i="5"/>
  <c r="K29" i="5"/>
  <c r="H29" i="5"/>
  <c r="Q29" i="5" s="1"/>
  <c r="E29" i="5"/>
  <c r="C29" i="5" s="1"/>
  <c r="N28" i="5"/>
  <c r="M28" i="5"/>
  <c r="M26" i="5" s="1"/>
  <c r="K28" i="5"/>
  <c r="F28" i="5" s="1"/>
  <c r="C28" i="5"/>
  <c r="N27" i="5"/>
  <c r="K27" i="5"/>
  <c r="H27" i="5"/>
  <c r="F27" i="5" s="1"/>
  <c r="E27" i="5"/>
  <c r="C27" i="5" s="1"/>
  <c r="L26" i="5"/>
  <c r="J26" i="5"/>
  <c r="I26" i="5"/>
  <c r="G26" i="5"/>
  <c r="D26" i="5"/>
  <c r="H25" i="5"/>
  <c r="F25" i="5" s="1"/>
  <c r="O25" i="5" s="1"/>
  <c r="E25" i="5"/>
  <c r="C25" i="5" s="1"/>
  <c r="N24" i="5"/>
  <c r="N23" i="5" s="1"/>
  <c r="H24" i="5"/>
  <c r="F24" i="5" s="1"/>
  <c r="E24" i="5"/>
  <c r="E23" i="5" s="1"/>
  <c r="M23" i="5"/>
  <c r="L23" i="5"/>
  <c r="K23" i="5"/>
  <c r="J23" i="5"/>
  <c r="I23" i="5"/>
  <c r="G23" i="5"/>
  <c r="D23" i="5"/>
  <c r="N22" i="5"/>
  <c r="K22" i="5"/>
  <c r="H22" i="5"/>
  <c r="E22" i="5"/>
  <c r="C22" i="5"/>
  <c r="N21" i="5"/>
  <c r="K21" i="5"/>
  <c r="H21" i="5"/>
  <c r="E21" i="5"/>
  <c r="C21" i="5" s="1"/>
  <c r="N20" i="5"/>
  <c r="H20" i="5"/>
  <c r="Q20" i="5" s="1"/>
  <c r="E20" i="5"/>
  <c r="C20" i="5" s="1"/>
  <c r="N19" i="5"/>
  <c r="H19" i="5"/>
  <c r="E19" i="5"/>
  <c r="N18" i="5"/>
  <c r="H18" i="5"/>
  <c r="E18" i="5"/>
  <c r="C18" i="5"/>
  <c r="N17" i="5"/>
  <c r="H17" i="5"/>
  <c r="E17" i="5"/>
  <c r="C17" i="5" s="1"/>
  <c r="N16" i="5"/>
  <c r="H16" i="5"/>
  <c r="F16" i="5" s="1"/>
  <c r="O16" i="5" s="1"/>
  <c r="E16" i="5"/>
  <c r="C16" i="5"/>
  <c r="M15" i="5"/>
  <c r="L15" i="5"/>
  <c r="K15" i="5"/>
  <c r="J15" i="5"/>
  <c r="I15" i="5"/>
  <c r="G15" i="5"/>
  <c r="G14" i="5" s="1"/>
  <c r="D15" i="5"/>
  <c r="N13" i="5"/>
  <c r="L13" i="5"/>
  <c r="D13" i="5"/>
  <c r="C13" i="5" s="1"/>
  <c r="D10" i="5"/>
  <c r="E10" i="5" s="1"/>
  <c r="F10" i="5" s="1"/>
  <c r="G10" i="5" s="1"/>
  <c r="H10" i="5" s="1"/>
  <c r="I10" i="5" s="1"/>
  <c r="J10" i="5" s="1"/>
  <c r="K10" i="5" s="1"/>
  <c r="L10" i="5" s="1"/>
  <c r="M10" i="5" s="1"/>
  <c r="N10" i="5" s="1"/>
  <c r="C36" i="7" l="1"/>
  <c r="P57" i="7"/>
  <c r="F64" i="7"/>
  <c r="F62" i="7" s="1"/>
  <c r="P65" i="7"/>
  <c r="F72" i="7"/>
  <c r="I75" i="7"/>
  <c r="F79" i="7"/>
  <c r="I82" i="7"/>
  <c r="C83" i="7"/>
  <c r="C81" i="7" s="1"/>
  <c r="I83" i="7"/>
  <c r="F86" i="7"/>
  <c r="F90" i="7"/>
  <c r="G91" i="7"/>
  <c r="M89" i="7"/>
  <c r="J92" i="7"/>
  <c r="G93" i="7"/>
  <c r="G95" i="7"/>
  <c r="I96" i="7"/>
  <c r="J98" i="7"/>
  <c r="I102" i="7"/>
  <c r="I101" i="7" s="1"/>
  <c r="G103" i="7"/>
  <c r="F103" i="7" s="1"/>
  <c r="O69" i="7"/>
  <c r="O68" i="7" s="1"/>
  <c r="O67" i="7" s="1"/>
  <c r="F105" i="7"/>
  <c r="P105" i="7" s="1"/>
  <c r="J104" i="7"/>
  <c r="I106" i="7"/>
  <c r="G107" i="7"/>
  <c r="M111" i="7"/>
  <c r="I113" i="7"/>
  <c r="C114" i="7"/>
  <c r="E20" i="7"/>
  <c r="G21" i="7"/>
  <c r="F21" i="7" s="1"/>
  <c r="P21" i="7" s="1"/>
  <c r="I22" i="7"/>
  <c r="F23" i="7"/>
  <c r="P23" i="7" s="1"/>
  <c r="I24" i="7"/>
  <c r="E15" i="7"/>
  <c r="E14" i="7" s="1"/>
  <c r="C25" i="7"/>
  <c r="P28" i="7"/>
  <c r="J29" i="7"/>
  <c r="I33" i="7"/>
  <c r="I31" i="7" s="1"/>
  <c r="J34" i="7"/>
  <c r="G35" i="7"/>
  <c r="G34" i="7" s="1"/>
  <c r="L15" i="7"/>
  <c r="Q39" i="7"/>
  <c r="F40" i="7"/>
  <c r="P40" i="7" s="1"/>
  <c r="F41" i="7"/>
  <c r="P41" i="7" s="1"/>
  <c r="F42" i="7"/>
  <c r="P42" i="7" s="1"/>
  <c r="F43" i="7"/>
  <c r="P43" i="7" s="1"/>
  <c r="F44" i="7"/>
  <c r="P44" i="7" s="1"/>
  <c r="F45" i="7"/>
  <c r="P45" i="7" s="1"/>
  <c r="F46" i="7"/>
  <c r="P46" i="7" s="1"/>
  <c r="F47" i="7"/>
  <c r="P47" i="7" s="1"/>
  <c r="F48" i="7"/>
  <c r="P48" i="7" s="1"/>
  <c r="F49" i="7"/>
  <c r="P49" i="7" s="1"/>
  <c r="F50" i="7"/>
  <c r="P50" i="7" s="1"/>
  <c r="F51" i="7"/>
  <c r="P51" i="7" s="1"/>
  <c r="G58" i="7"/>
  <c r="I63" i="7"/>
  <c r="I64" i="7"/>
  <c r="D55" i="7"/>
  <c r="D54" i="7" s="1"/>
  <c r="D14" i="7" s="1"/>
  <c r="D13" i="7" s="1"/>
  <c r="R65" i="7"/>
  <c r="L55" i="7"/>
  <c r="L54" i="7" s="1"/>
  <c r="G71" i="7"/>
  <c r="I73" i="7"/>
  <c r="F76" i="7"/>
  <c r="I77" i="7"/>
  <c r="R79" i="7"/>
  <c r="I89" i="7"/>
  <c r="F106" i="7"/>
  <c r="P106" i="7" s="1"/>
  <c r="C104" i="7"/>
  <c r="F115" i="7"/>
  <c r="P115" i="7" s="1"/>
  <c r="I114" i="7"/>
  <c r="H114" i="7"/>
  <c r="R114" i="7" s="1"/>
  <c r="F23" i="5"/>
  <c r="Q17" i="5"/>
  <c r="E15" i="5"/>
  <c r="N35" i="5"/>
  <c r="Q39" i="5"/>
  <c r="C55" i="5"/>
  <c r="C111" i="5"/>
  <c r="Q114" i="5"/>
  <c r="F17" i="5"/>
  <c r="O17" i="5" s="1"/>
  <c r="F18" i="5"/>
  <c r="C24" i="5"/>
  <c r="C23" i="5" s="1"/>
  <c r="K26" i="5"/>
  <c r="F30" i="5"/>
  <c r="O30" i="5" s="1"/>
  <c r="F31" i="5"/>
  <c r="F32" i="5"/>
  <c r="F33" i="5"/>
  <c r="Q36" i="5"/>
  <c r="F39" i="5"/>
  <c r="O39" i="5" s="1"/>
  <c r="Q40" i="5"/>
  <c r="N41" i="5"/>
  <c r="H52" i="5"/>
  <c r="F53" i="5"/>
  <c r="F52" i="5" s="1"/>
  <c r="Q56" i="5"/>
  <c r="E58" i="5"/>
  <c r="H58" i="5"/>
  <c r="Q59" i="5"/>
  <c r="C60" i="5"/>
  <c r="C61" i="5"/>
  <c r="F71" i="5"/>
  <c r="F79" i="5"/>
  <c r="Q80" i="5"/>
  <c r="C85" i="5"/>
  <c r="F92" i="5"/>
  <c r="Q96" i="5"/>
  <c r="Q98" i="5"/>
  <c r="F100" i="5"/>
  <c r="Q102" i="5"/>
  <c r="F104" i="5"/>
  <c r="K103" i="5"/>
  <c r="F106" i="5"/>
  <c r="O106" i="5" s="1"/>
  <c r="F107" i="5"/>
  <c r="O107" i="5" s="1"/>
  <c r="E108" i="5"/>
  <c r="H108" i="5"/>
  <c r="E111" i="5"/>
  <c r="F112" i="5"/>
  <c r="O112" i="5" s="1"/>
  <c r="F114" i="5"/>
  <c r="O114" i="5" s="1"/>
  <c r="F120" i="5"/>
  <c r="F128" i="5"/>
  <c r="F129" i="5"/>
  <c r="F135" i="5"/>
  <c r="O32" i="5"/>
  <c r="O31" i="5"/>
  <c r="N15" i="5"/>
  <c r="Q18" i="5"/>
  <c r="C19" i="5"/>
  <c r="C15" i="5" s="1"/>
  <c r="F20" i="5"/>
  <c r="O20" i="5" s="1"/>
  <c r="H23" i="5"/>
  <c r="Q23" i="5" s="1"/>
  <c r="C36" i="5"/>
  <c r="O64" i="5"/>
  <c r="Q16" i="5"/>
  <c r="Q34" i="5"/>
  <c r="O55" i="5"/>
  <c r="Q68" i="5"/>
  <c r="Q75" i="5"/>
  <c r="Q76" i="5"/>
  <c r="O87" i="5"/>
  <c r="Q91" i="5"/>
  <c r="Q95" i="5"/>
  <c r="O99" i="5"/>
  <c r="Q107" i="5"/>
  <c r="Q108" i="5"/>
  <c r="O113" i="5"/>
  <c r="Q113" i="5"/>
  <c r="Q115" i="5"/>
  <c r="F125" i="5"/>
  <c r="F132" i="5"/>
  <c r="F40" i="5"/>
  <c r="O40" i="5" s="1"/>
  <c r="K43" i="5"/>
  <c r="F43" i="5" s="1"/>
  <c r="Q44" i="5"/>
  <c r="O46" i="5"/>
  <c r="E55" i="5"/>
  <c r="H55" i="5"/>
  <c r="E61" i="5"/>
  <c r="N61" i="5"/>
  <c r="Q67" i="5"/>
  <c r="F68" i="5"/>
  <c r="F72" i="5"/>
  <c r="J14" i="5"/>
  <c r="J12" i="5" s="1"/>
  <c r="J11" i="5" s="1"/>
  <c r="I14" i="5"/>
  <c r="I12" i="5" s="1"/>
  <c r="I11" i="5" s="1"/>
  <c r="F78" i="5"/>
  <c r="N77" i="5"/>
  <c r="F91" i="5"/>
  <c r="Q92" i="5"/>
  <c r="C93" i="5"/>
  <c r="F93" i="5"/>
  <c r="F94" i="5"/>
  <c r="Q99" i="5"/>
  <c r="Q100" i="5"/>
  <c r="C101" i="5"/>
  <c r="F101" i="5"/>
  <c r="C104" i="5"/>
  <c r="C103" i="5" s="1"/>
  <c r="Q106" i="5"/>
  <c r="F111" i="5"/>
  <c r="O111" i="5" s="1"/>
  <c r="H111" i="5"/>
  <c r="Q111" i="5" s="1"/>
  <c r="K111" i="5"/>
  <c r="Q112" i="5"/>
  <c r="F115" i="5"/>
  <c r="F117" i="5"/>
  <c r="O117" i="5" s="1"/>
  <c r="Q117" i="5"/>
  <c r="F119" i="5"/>
  <c r="N118" i="5"/>
  <c r="F121" i="5"/>
  <c r="F122" i="5"/>
  <c r="F126" i="5"/>
  <c r="F130" i="5"/>
  <c r="E15" i="6"/>
  <c r="E16" i="6"/>
  <c r="R16" i="7"/>
  <c r="P90" i="7"/>
  <c r="P78" i="7"/>
  <c r="R35" i="7"/>
  <c r="H34" i="7"/>
  <c r="R34" i="7" s="1"/>
  <c r="P62" i="7"/>
  <c r="P86" i="7"/>
  <c r="C15" i="7"/>
  <c r="C14" i="7" s="1"/>
  <c r="F27" i="7"/>
  <c r="P27" i="7" s="1"/>
  <c r="G25" i="7"/>
  <c r="F84" i="7"/>
  <c r="O15" i="7"/>
  <c r="O14" i="7" s="1"/>
  <c r="O13" i="7" s="1"/>
  <c r="R17" i="7"/>
  <c r="Q52" i="7"/>
  <c r="F52" i="7"/>
  <c r="P52" i="7" s="1"/>
  <c r="L69" i="7"/>
  <c r="L68" i="7" s="1"/>
  <c r="L67" i="7" s="1"/>
  <c r="H93" i="7"/>
  <c r="F93" i="7" s="1"/>
  <c r="M92" i="7"/>
  <c r="I104" i="7"/>
  <c r="P18" i="7"/>
  <c r="J20" i="7"/>
  <c r="J36" i="7"/>
  <c r="I57" i="7"/>
  <c r="I61" i="7"/>
  <c r="H61" i="7"/>
  <c r="F61" i="7" s="1"/>
  <c r="J65" i="7"/>
  <c r="J55" i="7" s="1"/>
  <c r="J54" i="7" s="1"/>
  <c r="I66" i="7"/>
  <c r="I65" i="7" s="1"/>
  <c r="D69" i="7"/>
  <c r="D68" i="7" s="1"/>
  <c r="D67" i="7" s="1"/>
  <c r="E69" i="7"/>
  <c r="E68" i="7" s="1"/>
  <c r="E67" i="7" s="1"/>
  <c r="E13" i="7" s="1"/>
  <c r="H77" i="7"/>
  <c r="R77" i="7" s="1"/>
  <c r="C79" i="7"/>
  <c r="C77" i="7" s="1"/>
  <c r="C69" i="7" s="1"/>
  <c r="C68" i="7" s="1"/>
  <c r="C67" i="7" s="1"/>
  <c r="F95" i="7"/>
  <c r="P95" i="7" s="1"/>
  <c r="G104" i="7"/>
  <c r="N15" i="7"/>
  <c r="N14" i="7" s="1"/>
  <c r="N13" i="7" s="1"/>
  <c r="H62" i="7"/>
  <c r="R62" i="7" s="1"/>
  <c r="F24" i="7"/>
  <c r="P24" i="7" s="1"/>
  <c r="I62" i="7"/>
  <c r="G112" i="7"/>
  <c r="J111" i="7"/>
  <c r="I112" i="7"/>
  <c r="I111" i="7" s="1"/>
  <c r="H20" i="7"/>
  <c r="R20" i="7" s="1"/>
  <c r="G22" i="7"/>
  <c r="I30" i="7"/>
  <c r="I29" i="7" s="1"/>
  <c r="J31" i="7"/>
  <c r="G32" i="7"/>
  <c r="F35" i="7"/>
  <c r="P37" i="7"/>
  <c r="H73" i="7"/>
  <c r="R73" i="7" s="1"/>
  <c r="I97" i="7"/>
  <c r="I95" i="7" s="1"/>
  <c r="R99" i="7"/>
  <c r="R105" i="7"/>
  <c r="H104" i="7"/>
  <c r="R104" i="7" s="1"/>
  <c r="F107" i="7"/>
  <c r="F108" i="7"/>
  <c r="P108" i="7" s="1"/>
  <c r="I109" i="7"/>
  <c r="I108" i="7" s="1"/>
  <c r="I17" i="7"/>
  <c r="I16" i="7" s="1"/>
  <c r="J16" i="7"/>
  <c r="J70" i="7"/>
  <c r="G36" i="7"/>
  <c r="Q36" i="7" s="1"/>
  <c r="H82" i="7"/>
  <c r="M81" i="7"/>
  <c r="F104" i="7"/>
  <c r="P104" i="7" s="1"/>
  <c r="I20" i="7"/>
  <c r="H26" i="7"/>
  <c r="F26" i="7" s="1"/>
  <c r="H30" i="7"/>
  <c r="M29" i="7"/>
  <c r="H36" i="7"/>
  <c r="F53" i="7"/>
  <c r="P53" i="7" s="1"/>
  <c r="R63" i="7"/>
  <c r="P66" i="7"/>
  <c r="G70" i="7"/>
  <c r="F80" i="7"/>
  <c r="F77" i="7" s="1"/>
  <c r="P77" i="7" s="1"/>
  <c r="H83" i="7"/>
  <c r="R83" i="7" s="1"/>
  <c r="G88" i="7"/>
  <c r="F88" i="7" s="1"/>
  <c r="G89" i="7"/>
  <c r="G108" i="7"/>
  <c r="G113" i="7"/>
  <c r="F113" i="7" s="1"/>
  <c r="F116" i="7"/>
  <c r="F114" i="7" s="1"/>
  <c r="P114" i="7" s="1"/>
  <c r="H89" i="7"/>
  <c r="R89" i="7" s="1"/>
  <c r="G98" i="7"/>
  <c r="F99" i="7"/>
  <c r="P63" i="7"/>
  <c r="R98" i="7"/>
  <c r="H71" i="7"/>
  <c r="M70" i="7"/>
  <c r="M85" i="7"/>
  <c r="G17" i="7"/>
  <c r="M25" i="7"/>
  <c r="M15" i="7" s="1"/>
  <c r="M14" i="7" s="1"/>
  <c r="I27" i="7"/>
  <c r="I25" i="7" s="1"/>
  <c r="H32" i="7"/>
  <c r="M31" i="7"/>
  <c r="M34" i="7"/>
  <c r="F38" i="7"/>
  <c r="P38" i="7" s="1"/>
  <c r="I53" i="7"/>
  <c r="I36" i="7" s="1"/>
  <c r="G65" i="7"/>
  <c r="I72" i="7"/>
  <c r="I70" i="7" s="1"/>
  <c r="F74" i="7"/>
  <c r="G75" i="7"/>
  <c r="F75" i="7" s="1"/>
  <c r="P75" i="7" s="1"/>
  <c r="G77" i="7"/>
  <c r="J81" i="7"/>
  <c r="G82" i="7"/>
  <c r="I84" i="7"/>
  <c r="I81" i="7" s="1"/>
  <c r="J85" i="7"/>
  <c r="H87" i="7"/>
  <c r="R87" i="7" s="1"/>
  <c r="F91" i="7"/>
  <c r="F89" i="7" s="1"/>
  <c r="P89" i="7" s="1"/>
  <c r="I94" i="7"/>
  <c r="I92" i="7" s="1"/>
  <c r="G94" i="7"/>
  <c r="F94" i="7" s="1"/>
  <c r="R102" i="7"/>
  <c r="H101" i="7"/>
  <c r="R101" i="7" s="1"/>
  <c r="R109" i="7"/>
  <c r="H108" i="7"/>
  <c r="R108" i="7" s="1"/>
  <c r="J73" i="7"/>
  <c r="J77" i="7"/>
  <c r="J95" i="7"/>
  <c r="R96" i="7"/>
  <c r="G102" i="7"/>
  <c r="M104" i="7"/>
  <c r="M108" i="7"/>
  <c r="G114" i="7"/>
  <c r="M117" i="7"/>
  <c r="H118" i="7"/>
  <c r="K118" i="5"/>
  <c r="Q51" i="5"/>
  <c r="F51" i="5"/>
  <c r="O51" i="5" s="1"/>
  <c r="O53" i="5"/>
  <c r="Q58" i="5"/>
  <c r="O60" i="5"/>
  <c r="C73" i="5"/>
  <c r="Q81" i="5"/>
  <c r="Q42" i="5"/>
  <c r="H41" i="5"/>
  <c r="O82" i="5"/>
  <c r="K108" i="5"/>
  <c r="F109" i="5"/>
  <c r="F108" i="5" s="1"/>
  <c r="O66" i="5"/>
  <c r="F22" i="5"/>
  <c r="O22" i="5" s="1"/>
  <c r="Q22" i="5"/>
  <c r="E26" i="5"/>
  <c r="O49" i="5"/>
  <c r="F48" i="5"/>
  <c r="O48" i="5" s="1"/>
  <c r="C52" i="5"/>
  <c r="O52" i="5" s="1"/>
  <c r="Q54" i="5"/>
  <c r="O91" i="5"/>
  <c r="O24" i="5"/>
  <c r="O34" i="5"/>
  <c r="Q49" i="5"/>
  <c r="H48" i="5"/>
  <c r="Q48" i="5" s="1"/>
  <c r="E52" i="5"/>
  <c r="Q52" i="5" s="1"/>
  <c r="O56" i="5"/>
  <c r="O65" i="5"/>
  <c r="O68" i="5"/>
  <c r="O81" i="5"/>
  <c r="K13" i="5"/>
  <c r="Q27" i="5"/>
  <c r="O45" i="5"/>
  <c r="Q47" i="5"/>
  <c r="F47" i="5"/>
  <c r="O47" i="5" s="1"/>
  <c r="D14" i="5"/>
  <c r="D12" i="5" s="1"/>
  <c r="D11" i="5" s="1"/>
  <c r="O18" i="5"/>
  <c r="F29" i="5"/>
  <c r="O29" i="5" s="1"/>
  <c r="K35" i="5"/>
  <c r="Q45" i="5"/>
  <c r="N55" i="5"/>
  <c r="M61" i="5"/>
  <c r="M14" i="5" s="1"/>
  <c r="M12" i="5" s="1"/>
  <c r="F74" i="5"/>
  <c r="H73" i="5"/>
  <c r="Q73" i="5" s="1"/>
  <c r="Q74" i="5"/>
  <c r="H77" i="5"/>
  <c r="Q78" i="5"/>
  <c r="F86" i="5"/>
  <c r="H85" i="5"/>
  <c r="O93" i="5"/>
  <c r="F95" i="5"/>
  <c r="O95" i="5" s="1"/>
  <c r="O100" i="5"/>
  <c r="O115" i="5"/>
  <c r="E118" i="5"/>
  <c r="C118" i="5" s="1"/>
  <c r="F124" i="5"/>
  <c r="F89" i="5"/>
  <c r="H88" i="5"/>
  <c r="Q88" i="5" s="1"/>
  <c r="Q89" i="5"/>
  <c r="F105" i="5"/>
  <c r="Q105" i="5"/>
  <c r="C116" i="5"/>
  <c r="O116" i="5" s="1"/>
  <c r="Q116" i="5"/>
  <c r="O33" i="5"/>
  <c r="Q69" i="5"/>
  <c r="F69" i="5"/>
  <c r="O69" i="5" s="1"/>
  <c r="C94" i="5"/>
  <c r="O94" i="5" s="1"/>
  <c r="Q94" i="5"/>
  <c r="C26" i="5"/>
  <c r="O44" i="5"/>
  <c r="O54" i="5"/>
  <c r="H62" i="5"/>
  <c r="K61" i="5"/>
  <c r="O79" i="5"/>
  <c r="Q82" i="5"/>
  <c r="F19" i="5"/>
  <c r="Q19" i="5"/>
  <c r="C35" i="5"/>
  <c r="Q46" i="5"/>
  <c r="Q79" i="5"/>
  <c r="O101" i="5"/>
  <c r="M118" i="5"/>
  <c r="F26" i="5"/>
  <c r="O27" i="5"/>
  <c r="E77" i="5"/>
  <c r="C78" i="5"/>
  <c r="C77" i="5" s="1"/>
  <c r="L14" i="5"/>
  <c r="L12" i="5" s="1"/>
  <c r="L11" i="5" s="1"/>
  <c r="F21" i="5"/>
  <c r="O21" i="5" s="1"/>
  <c r="Q21" i="5"/>
  <c r="H26" i="5"/>
  <c r="Q26" i="5" s="1"/>
  <c r="F38" i="5"/>
  <c r="O38" i="5" s="1"/>
  <c r="C42" i="5"/>
  <c r="C41" i="5" s="1"/>
  <c r="E41" i="5"/>
  <c r="F63" i="5"/>
  <c r="O63" i="5" s="1"/>
  <c r="F67" i="5"/>
  <c r="O67" i="5" s="1"/>
  <c r="K73" i="5"/>
  <c r="F80" i="5"/>
  <c r="O80" i="5" s="1"/>
  <c r="C92" i="5"/>
  <c r="O92" i="5" s="1"/>
  <c r="H103" i="5"/>
  <c r="Q103" i="5" s="1"/>
  <c r="Q104" i="5"/>
  <c r="N26" i="5"/>
  <c r="N14" i="5" s="1"/>
  <c r="N12" i="5" s="1"/>
  <c r="N11" i="5" s="1"/>
  <c r="C58" i="5"/>
  <c r="F36" i="5"/>
  <c r="Q53" i="5"/>
  <c r="Q64" i="5"/>
  <c r="F98" i="5"/>
  <c r="O98" i="5" s="1"/>
  <c r="Q110" i="5"/>
  <c r="F131" i="5"/>
  <c r="F118" i="5" s="1"/>
  <c r="O118" i="5" s="1"/>
  <c r="Q65" i="5"/>
  <c r="O110" i="5"/>
  <c r="F59" i="5"/>
  <c r="Q63" i="5"/>
  <c r="F76" i="5"/>
  <c r="O76" i="5" s="1"/>
  <c r="K84" i="5"/>
  <c r="E85" i="5"/>
  <c r="Q87" i="5"/>
  <c r="F90" i="5"/>
  <c r="O90" i="5" s="1"/>
  <c r="F97" i="5"/>
  <c r="O97" i="5" s="1"/>
  <c r="C108" i="5"/>
  <c r="Q66" i="5"/>
  <c r="H15" i="5"/>
  <c r="F75" i="5"/>
  <c r="O75" i="5" s="1"/>
  <c r="F96" i="5"/>
  <c r="O96" i="5" s="1"/>
  <c r="I69" i="7" l="1"/>
  <c r="I68" i="7" s="1"/>
  <c r="I67" i="7" s="1"/>
  <c r="G85" i="7"/>
  <c r="L13" i="7"/>
  <c r="F58" i="7"/>
  <c r="G56" i="7"/>
  <c r="L14" i="7"/>
  <c r="G55" i="7"/>
  <c r="G54" i="7" s="1"/>
  <c r="F87" i="7"/>
  <c r="P87" i="7" s="1"/>
  <c r="G92" i="7"/>
  <c r="G73" i="7"/>
  <c r="F56" i="7"/>
  <c r="P56" i="7" s="1"/>
  <c r="O104" i="5"/>
  <c r="O78" i="5"/>
  <c r="Q55" i="5"/>
  <c r="O23" i="5"/>
  <c r="Q85" i="5"/>
  <c r="E14" i="5"/>
  <c r="E12" i="5" s="1"/>
  <c r="E11" i="5" s="1"/>
  <c r="O108" i="5"/>
  <c r="C14" i="5"/>
  <c r="C12" i="5" s="1"/>
  <c r="C11" i="5" s="1"/>
  <c r="O42" i="5"/>
  <c r="K41" i="5"/>
  <c r="F55" i="7"/>
  <c r="P26" i="7"/>
  <c r="F25" i="7"/>
  <c r="P25" i="7" s="1"/>
  <c r="F92" i="7"/>
  <c r="P92" i="7" s="1"/>
  <c r="P93" i="7"/>
  <c r="G16" i="7"/>
  <c r="F17" i="7"/>
  <c r="M69" i="7"/>
  <c r="M68" i="7" s="1"/>
  <c r="M67" i="7" s="1"/>
  <c r="M13" i="7" s="1"/>
  <c r="I15" i="7"/>
  <c r="P79" i="7"/>
  <c r="C13" i="7"/>
  <c r="F112" i="7"/>
  <c r="G111" i="7"/>
  <c r="G101" i="7"/>
  <c r="F102" i="7"/>
  <c r="R30" i="7"/>
  <c r="F30" i="7"/>
  <c r="H29" i="7"/>
  <c r="R29" i="7" s="1"/>
  <c r="I56" i="7"/>
  <c r="I55" i="7" s="1"/>
  <c r="I54" i="7" s="1"/>
  <c r="G20" i="7"/>
  <c r="F22" i="7"/>
  <c r="F73" i="7"/>
  <c r="P73" i="7" s="1"/>
  <c r="P74" i="7"/>
  <c r="R32" i="7"/>
  <c r="H31" i="7"/>
  <c r="R31" i="7" s="1"/>
  <c r="R82" i="7"/>
  <c r="H81" i="7"/>
  <c r="R81" i="7" s="1"/>
  <c r="F36" i="7"/>
  <c r="P36" i="7" s="1"/>
  <c r="G31" i="7"/>
  <c r="F32" i="7"/>
  <c r="J69" i="7"/>
  <c r="J68" i="7" s="1"/>
  <c r="J67" i="7" s="1"/>
  <c r="H92" i="7"/>
  <c r="R92" i="7" s="1"/>
  <c r="R93" i="7"/>
  <c r="F82" i="7"/>
  <c r="G81" i="7"/>
  <c r="H25" i="7"/>
  <c r="R26" i="7"/>
  <c r="J15" i="7"/>
  <c r="J14" i="7" s="1"/>
  <c r="J13" i="7" s="1"/>
  <c r="F118" i="7"/>
  <c r="F117" i="7" s="1"/>
  <c r="P117" i="7" s="1"/>
  <c r="H117" i="7"/>
  <c r="R117" i="7" s="1"/>
  <c r="H70" i="7"/>
  <c r="R71" i="7"/>
  <c r="F83" i="7"/>
  <c r="P83" i="7" s="1"/>
  <c r="F71" i="7"/>
  <c r="H85" i="7"/>
  <c r="R85" i="7" s="1"/>
  <c r="P99" i="7"/>
  <c r="F98" i="7"/>
  <c r="P98" i="7" s="1"/>
  <c r="F34" i="7"/>
  <c r="P34" i="7" s="1"/>
  <c r="P35" i="7"/>
  <c r="H56" i="7"/>
  <c r="F85" i="7"/>
  <c r="P85" i="7" s="1"/>
  <c r="Q41" i="5"/>
  <c r="O86" i="5"/>
  <c r="F85" i="5"/>
  <c r="O85" i="5" s="1"/>
  <c r="Q15" i="5"/>
  <c r="O105" i="5"/>
  <c r="F103" i="5"/>
  <c r="O103" i="5" s="1"/>
  <c r="G13" i="5"/>
  <c r="O19" i="5"/>
  <c r="F15" i="5"/>
  <c r="F41" i="5"/>
  <c r="O41" i="5" s="1"/>
  <c r="O26" i="5"/>
  <c r="F84" i="5"/>
  <c r="F77" i="5" s="1"/>
  <c r="O77" i="5" s="1"/>
  <c r="K77" i="5"/>
  <c r="K14" i="5" s="1"/>
  <c r="K12" i="5" s="1"/>
  <c r="K11" i="5" s="1"/>
  <c r="Q77" i="5"/>
  <c r="Q118" i="5"/>
  <c r="M11" i="5"/>
  <c r="F58" i="5"/>
  <c r="O58" i="5" s="1"/>
  <c r="O59" i="5"/>
  <c r="O36" i="5"/>
  <c r="F35" i="5"/>
  <c r="O35" i="5" s="1"/>
  <c r="Q62" i="5"/>
  <c r="H61" i="5"/>
  <c r="Q61" i="5" s="1"/>
  <c r="F62" i="5"/>
  <c r="F73" i="5"/>
  <c r="O73" i="5" s="1"/>
  <c r="O74" i="5"/>
  <c r="F88" i="5"/>
  <c r="O88" i="5" s="1"/>
  <c r="O89" i="5"/>
  <c r="G15" i="7" l="1"/>
  <c r="G14" i="7" s="1"/>
  <c r="G69" i="7"/>
  <c r="G68" i="7" s="1"/>
  <c r="G67" i="7" s="1"/>
  <c r="H14" i="5"/>
  <c r="H12" i="5" s="1"/>
  <c r="Q15" i="7"/>
  <c r="F70" i="7"/>
  <c r="P71" i="7"/>
  <c r="R56" i="7"/>
  <c r="H55" i="7"/>
  <c r="F81" i="7"/>
  <c r="P81" i="7" s="1"/>
  <c r="P82" i="7"/>
  <c r="R70" i="7"/>
  <c r="H69" i="7"/>
  <c r="F29" i="7"/>
  <c r="P29" i="7" s="1"/>
  <c r="P30" i="7"/>
  <c r="I14" i="7"/>
  <c r="I13" i="7" s="1"/>
  <c r="P22" i="7"/>
  <c r="F20" i="7"/>
  <c r="P20" i="7" s="1"/>
  <c r="R25" i="7"/>
  <c r="H15" i="7"/>
  <c r="P112" i="7"/>
  <c r="F111" i="7"/>
  <c r="P111" i="7" s="1"/>
  <c r="P102" i="7"/>
  <c r="F101" i="7"/>
  <c r="P101" i="7" s="1"/>
  <c r="F54" i="7"/>
  <c r="P54" i="7" s="1"/>
  <c r="P55" i="7"/>
  <c r="F31" i="7"/>
  <c r="P31" i="7" s="1"/>
  <c r="P32" i="7"/>
  <c r="F16" i="7"/>
  <c r="P17" i="7"/>
  <c r="Q14" i="5"/>
  <c r="F61" i="5"/>
  <c r="O61" i="5" s="1"/>
  <c r="O62" i="5"/>
  <c r="F14" i="5"/>
  <c r="O14" i="5" s="1"/>
  <c r="O15" i="5"/>
  <c r="F13" i="5"/>
  <c r="G12" i="5"/>
  <c r="P13" i="5"/>
  <c r="H54" i="7" l="1"/>
  <c r="R54" i="7" s="1"/>
  <c r="R55" i="7"/>
  <c r="F69" i="7"/>
  <c r="P70" i="7"/>
  <c r="F15" i="7"/>
  <c r="P16" i="7"/>
  <c r="H68" i="7"/>
  <c r="R69" i="7"/>
  <c r="R15" i="7"/>
  <c r="G13" i="7"/>
  <c r="Q13" i="7" s="1"/>
  <c r="Q14" i="7"/>
  <c r="G11" i="5"/>
  <c r="P11" i="5" s="1"/>
  <c r="P12" i="5"/>
  <c r="F12" i="5"/>
  <c r="O13" i="5"/>
  <c r="H11" i="5"/>
  <c r="Q11" i="5" s="1"/>
  <c r="Q12" i="5"/>
  <c r="R68" i="7" l="1"/>
  <c r="H67" i="7"/>
  <c r="R67" i="7" s="1"/>
  <c r="F14" i="7"/>
  <c r="P15" i="7"/>
  <c r="P69" i="7"/>
  <c r="F68" i="7"/>
  <c r="H14" i="7"/>
  <c r="F11" i="5"/>
  <c r="O11" i="5" s="1"/>
  <c r="O12" i="5"/>
  <c r="R14" i="7" l="1"/>
  <c r="H13" i="7"/>
  <c r="R13" i="7" s="1"/>
  <c r="F67" i="7"/>
  <c r="P67" i="7" s="1"/>
  <c r="P68" i="7"/>
  <c r="P14" i="7"/>
  <c r="F13" i="7" l="1"/>
  <c r="P13" i="7" s="1"/>
  <c r="F28" i="3" l="1"/>
  <c r="C27" i="3"/>
  <c r="F12" i="3"/>
  <c r="S16" i="6"/>
  <c r="S17" i="6"/>
  <c r="S18" i="6"/>
  <c r="S19" i="6"/>
  <c r="S20" i="6"/>
  <c r="S21" i="6"/>
  <c r="S22" i="6"/>
  <c r="S23" i="6"/>
  <c r="S24" i="6"/>
  <c r="S25" i="6"/>
  <c r="S26" i="6"/>
  <c r="S27" i="6"/>
  <c r="S28" i="6"/>
  <c r="S29" i="6"/>
  <c r="G14" i="6"/>
  <c r="D30" i="4"/>
  <c r="C30" i="4"/>
  <c r="E38" i="4"/>
  <c r="E10" i="4"/>
  <c r="C12" i="4"/>
  <c r="D13" i="4"/>
  <c r="D12" i="4" s="1"/>
  <c r="E31" i="4"/>
  <c r="E32" i="4"/>
  <c r="E33" i="4"/>
  <c r="E34" i="4"/>
  <c r="E36" i="4"/>
  <c r="E37" i="4"/>
  <c r="E39" i="4"/>
  <c r="E40" i="4"/>
  <c r="E41" i="4"/>
  <c r="E42" i="4"/>
  <c r="E43" i="4"/>
  <c r="E44" i="4"/>
  <c r="F37" i="3"/>
  <c r="F36" i="3"/>
  <c r="F30" i="3"/>
  <c r="C29" i="3"/>
  <c r="J28" i="3"/>
  <c r="F27" i="3"/>
  <c r="C26" i="3"/>
  <c r="F25" i="3"/>
  <c r="D25" i="3"/>
  <c r="C25" i="3" s="1"/>
  <c r="A25" i="3"/>
  <c r="F24" i="3"/>
  <c r="C24" i="3"/>
  <c r="F22" i="3"/>
  <c r="K22" i="3"/>
  <c r="F21" i="3"/>
  <c r="F20" i="3"/>
  <c r="C19" i="3"/>
  <c r="C18" i="3"/>
  <c r="C17" i="3"/>
  <c r="C16" i="3"/>
  <c r="F15" i="3"/>
  <c r="D15" i="3"/>
  <c r="C15" i="3" s="1"/>
  <c r="C14" i="3"/>
  <c r="G13" i="3"/>
  <c r="D13" i="3"/>
  <c r="C13" i="3" s="1"/>
  <c r="C12" i="3"/>
  <c r="C11" i="3" s="1"/>
  <c r="H11" i="3"/>
  <c r="E11" i="3"/>
  <c r="H10" i="3"/>
  <c r="H9" i="3" s="1"/>
  <c r="E60" i="2"/>
  <c r="G60" i="2" s="1"/>
  <c r="D60" i="2"/>
  <c r="F60" i="2" s="1"/>
  <c r="H60" i="2" s="1"/>
  <c r="G59" i="2"/>
  <c r="F59" i="2"/>
  <c r="D59" i="2"/>
  <c r="A52" i="2"/>
  <c r="A53" i="2" s="1"/>
  <c r="A54" i="2" s="1"/>
  <c r="A55" i="2" s="1"/>
  <c r="A56" i="2" s="1"/>
  <c r="D40" i="2"/>
  <c r="D39" i="2" s="1"/>
  <c r="F39" i="2"/>
  <c r="E39" i="2"/>
  <c r="C39" i="2"/>
  <c r="C9" i="2" s="1"/>
  <c r="C8" i="2" s="1"/>
  <c r="C7" i="2" s="1"/>
  <c r="H34" i="2"/>
  <c r="G34" i="2"/>
  <c r="F32" i="2"/>
  <c r="G26" i="2"/>
  <c r="D26" i="2"/>
  <c r="H26" i="2" s="1"/>
  <c r="G25" i="2"/>
  <c r="F25" i="2"/>
  <c r="D25" i="2"/>
  <c r="H25" i="2" s="1"/>
  <c r="G21" i="2"/>
  <c r="D21" i="2"/>
  <c r="H21" i="2" s="1"/>
  <c r="F19" i="2"/>
  <c r="F18" i="2"/>
  <c r="F16" i="2" s="1"/>
  <c r="E16" i="2"/>
  <c r="G16" i="2" s="1"/>
  <c r="D16" i="2"/>
  <c r="A14" i="2"/>
  <c r="A16" i="2" s="1"/>
  <c r="A21" i="2" s="1"/>
  <c r="A22" i="2" s="1"/>
  <c r="A25" i="2" s="1"/>
  <c r="A26" i="2" s="1"/>
  <c r="A31" i="2" s="1"/>
  <c r="A32" i="2" s="1"/>
  <c r="A33" i="2" s="1"/>
  <c r="A34" i="2" s="1"/>
  <c r="A35" i="2" s="1"/>
  <c r="A36" i="2" s="1"/>
  <c r="A38" i="2" s="1"/>
  <c r="A39" i="2" s="1"/>
  <c r="A43" i="2" s="1"/>
  <c r="A44" i="2" s="1"/>
  <c r="A45" i="2" s="1"/>
  <c r="A46" i="2" s="1"/>
  <c r="A12" i="2"/>
  <c r="E26" i="1"/>
  <c r="H59" i="2" l="1"/>
  <c r="G39" i="2"/>
  <c r="H39" i="2"/>
  <c r="F9" i="2"/>
  <c r="D9" i="2"/>
  <c r="D8" i="2" s="1"/>
  <c r="D7" i="2" s="1"/>
  <c r="E9" i="2"/>
  <c r="H16" i="2"/>
  <c r="G9" i="2"/>
  <c r="D11" i="4"/>
  <c r="D9" i="4" s="1"/>
  <c r="E30" i="4"/>
  <c r="C11" i="4"/>
  <c r="C9" i="4" s="1"/>
  <c r="E13" i="4"/>
  <c r="E12" i="4"/>
  <c r="J25" i="3"/>
  <c r="E10" i="3"/>
  <c r="K10" i="3"/>
  <c r="D11" i="3"/>
  <c r="D10" i="3" s="1"/>
  <c r="I24" i="3"/>
  <c r="J24" i="3"/>
  <c r="I27" i="3"/>
  <c r="J27" i="3"/>
  <c r="F11" i="3"/>
  <c r="I12" i="3"/>
  <c r="I25" i="3"/>
  <c r="C28" i="3"/>
  <c r="I28" i="3" s="1"/>
  <c r="J12" i="3"/>
  <c r="G11" i="3"/>
  <c r="E8" i="2"/>
  <c r="F8" i="2"/>
  <c r="H9" i="2" l="1"/>
  <c r="E9" i="4"/>
  <c r="E11" i="4"/>
  <c r="E9" i="3"/>
  <c r="K9" i="3" s="1"/>
  <c r="F10" i="3"/>
  <c r="I11" i="3"/>
  <c r="G10" i="3"/>
  <c r="J11" i="3"/>
  <c r="H8" i="2"/>
  <c r="F7" i="2"/>
  <c r="H7" i="2" s="1"/>
  <c r="G8" i="2"/>
  <c r="E7" i="2"/>
  <c r="G7" i="2" s="1"/>
  <c r="J22" i="3" l="1"/>
  <c r="C22" i="3"/>
  <c r="C10" i="3" s="1"/>
  <c r="D9" i="3"/>
  <c r="G9" i="3"/>
  <c r="F9" i="3"/>
  <c r="J10" i="3" l="1"/>
  <c r="J9" i="3"/>
  <c r="I22" i="3"/>
  <c r="C9" i="3" l="1"/>
  <c r="I9" i="3" s="1"/>
  <c r="I10" i="3"/>
  <c r="K29" i="6" l="1"/>
  <c r="K16" i="6"/>
  <c r="K20" i="6"/>
  <c r="K21" i="6"/>
  <c r="K24" i="6"/>
  <c r="I24" i="6" s="1"/>
  <c r="K25" i="6"/>
  <c r="I25" i="6" s="1"/>
  <c r="K27" i="6"/>
  <c r="D14" i="6"/>
  <c r="F14" i="6"/>
  <c r="L14" i="6"/>
  <c r="C15" i="6"/>
  <c r="C16" i="6"/>
  <c r="P16" i="6"/>
  <c r="E17" i="6"/>
  <c r="C17" i="6" s="1"/>
  <c r="P17" i="6"/>
  <c r="K17" i="6"/>
  <c r="E18" i="6"/>
  <c r="C18" i="6" s="1"/>
  <c r="P18" i="6"/>
  <c r="K18" i="6"/>
  <c r="Q18" i="6" s="1"/>
  <c r="E19" i="6"/>
  <c r="C19" i="6" s="1"/>
  <c r="P19" i="6"/>
  <c r="K19" i="6"/>
  <c r="H14" i="6"/>
  <c r="P20" i="6"/>
  <c r="E21" i="6"/>
  <c r="C21" i="6" s="1"/>
  <c r="E22" i="6"/>
  <c r="C22" i="6" s="1"/>
  <c r="P22" i="6"/>
  <c r="K22" i="6"/>
  <c r="E23" i="6"/>
  <c r="C23" i="6" s="1"/>
  <c r="P23" i="6"/>
  <c r="K23" i="6"/>
  <c r="E24" i="6"/>
  <c r="C24" i="6" s="1"/>
  <c r="P24" i="6"/>
  <c r="E25" i="6"/>
  <c r="C25" i="6" s="1"/>
  <c r="P25" i="6"/>
  <c r="E26" i="6"/>
  <c r="C26" i="6" s="1"/>
  <c r="P26" i="6"/>
  <c r="K26" i="6"/>
  <c r="E27" i="6"/>
  <c r="C27" i="6" s="1"/>
  <c r="P27" i="6"/>
  <c r="E28" i="6"/>
  <c r="C28" i="6" s="1"/>
  <c r="P28" i="6"/>
  <c r="K28" i="6"/>
  <c r="E29" i="6"/>
  <c r="C29" i="6" s="1"/>
  <c r="S15" i="6" l="1"/>
  <c r="S14" i="6"/>
  <c r="Q23" i="6"/>
  <c r="Q24" i="6"/>
  <c r="I29" i="6"/>
  <c r="O29" i="6" s="1"/>
  <c r="I21" i="6"/>
  <c r="O21" i="6" s="1"/>
  <c r="I28" i="6"/>
  <c r="O28" i="6" s="1"/>
  <c r="O25" i="6"/>
  <c r="K15" i="6"/>
  <c r="O24" i="6"/>
  <c r="I16" i="6"/>
  <c r="O16" i="6" s="1"/>
  <c r="P15" i="6"/>
  <c r="Q27" i="6"/>
  <c r="Q26" i="6"/>
  <c r="Q21" i="6"/>
  <c r="Q19" i="6"/>
  <c r="Q17" i="6"/>
  <c r="Q28" i="6"/>
  <c r="Q29" i="6"/>
  <c r="Q25" i="6"/>
  <c r="Q16" i="6"/>
  <c r="I26" i="6"/>
  <c r="O26" i="6" s="1"/>
  <c r="P21" i="6"/>
  <c r="I23" i="6"/>
  <c r="O23" i="6" s="1"/>
  <c r="I20" i="6"/>
  <c r="Q22" i="6"/>
  <c r="I27" i="6"/>
  <c r="O27" i="6" s="1"/>
  <c r="J14" i="6"/>
  <c r="P14" i="6" s="1"/>
  <c r="P29" i="6"/>
  <c r="I22" i="6"/>
  <c r="O22" i="6" s="1"/>
  <c r="E20" i="6"/>
  <c r="C20" i="6" s="1"/>
  <c r="C14" i="6" s="1"/>
  <c r="I19" i="6"/>
  <c r="O19" i="6" s="1"/>
  <c r="I18" i="6"/>
  <c r="O18" i="6" s="1"/>
  <c r="I17" i="6"/>
  <c r="O17" i="6" s="1"/>
  <c r="N14" i="6"/>
  <c r="T14" i="6" s="1"/>
  <c r="I15" i="6" l="1"/>
  <c r="K14" i="6"/>
  <c r="Q15" i="6"/>
  <c r="O20" i="6"/>
  <c r="E14" i="6"/>
  <c r="Q20" i="6"/>
  <c r="O15" i="6" l="1"/>
  <c r="I14" i="6"/>
  <c r="O14" i="6" s="1"/>
  <c r="Q14" i="6"/>
  <c r="E24" i="1" l="1"/>
  <c r="A3" i="7" l="1"/>
  <c r="A3" i="6"/>
  <c r="A3" i="5"/>
  <c r="A3" i="4"/>
  <c r="A4" i="3"/>
  <c r="A3" i="2"/>
  <c r="D8" i="4" l="1"/>
  <c r="H8" i="3"/>
  <c r="E8" i="3"/>
  <c r="E15" i="1"/>
  <c r="E16" i="1"/>
  <c r="E25" i="1"/>
  <c r="E21" i="1"/>
  <c r="D20" i="1"/>
  <c r="D19" i="1" s="1"/>
  <c r="C20" i="1"/>
  <c r="C19" i="1" s="1"/>
  <c r="E14" i="1"/>
  <c r="E13" i="1"/>
  <c r="C12" i="1"/>
  <c r="C10" i="1"/>
  <c r="C8" i="1" s="1"/>
  <c r="C7" i="1" l="1"/>
  <c r="E20" i="1"/>
  <c r="E19" i="1"/>
  <c r="E9" i="1"/>
  <c r="D10" i="1"/>
  <c r="D12" i="1"/>
  <c r="E22" i="1"/>
  <c r="E12" i="1" l="1"/>
  <c r="D8" i="1"/>
  <c r="D7" i="1" s="1"/>
  <c r="E8" i="1" l="1"/>
  <c r="D34" i="1" l="1"/>
  <c r="E7" i="1"/>
</calcChain>
</file>

<file path=xl/sharedStrings.xml><?xml version="1.0" encoding="utf-8"?>
<sst xmlns="http://schemas.openxmlformats.org/spreadsheetml/2006/main" count="773" uniqueCount="447">
  <si>
    <t>STT</t>
  </si>
  <si>
    <t>Dự toán</t>
  </si>
  <si>
    <t>Quyết toán</t>
  </si>
  <si>
    <t>So sánh (%)</t>
  </si>
  <si>
    <t>Nội dung</t>
  </si>
  <si>
    <t>A</t>
  </si>
  <si>
    <t>B</t>
  </si>
  <si>
    <t>1</t>
  </si>
  <si>
    <t>2</t>
  </si>
  <si>
    <t>3</t>
  </si>
  <si>
    <t>3=2/1</t>
  </si>
  <si>
    <t>Thu ngân sách huyện được hưởng theo phân cấp</t>
  </si>
  <si>
    <t>-</t>
  </si>
  <si>
    <t>Thu ngân sách huyện hưởng 100%</t>
  </si>
  <si>
    <t>Thu bổ sung có mục tiêu</t>
  </si>
  <si>
    <t>4</t>
  </si>
  <si>
    <t>I</t>
  </si>
  <si>
    <t>Chi cân đối ngân sách huyện</t>
  </si>
  <si>
    <t>Chi thường xuyên</t>
  </si>
  <si>
    <t>Chi đầu tư phát triển</t>
  </si>
  <si>
    <t>Chi tạo nguồn, điều chỉnh tiền lương</t>
  </si>
  <si>
    <t>II</t>
  </si>
  <si>
    <t>Chi các chương trình mục tiêu</t>
  </si>
  <si>
    <t>Chi chuyển nguồn sang năm sau</t>
  </si>
  <si>
    <t>III</t>
  </si>
  <si>
    <t>Biểu số 96/CK-NSNN</t>
  </si>
  <si>
    <t>Đơn vị: Triệu đồng</t>
  </si>
  <si>
    <t>Biểu 97/CK-NSNN</t>
  </si>
  <si>
    <t>TỔNG THU CÂN ĐỐI NSNN</t>
  </si>
  <si>
    <t>Thu nội địa</t>
  </si>
  <si>
    <t>(Chi tiết theo sắc thuế)</t>
  </si>
  <si>
    <t xml:space="preserve"> - Thuế GTGT+TNDN</t>
  </si>
  <si>
    <t xml:space="preserve"> - Thuế tài nguyên</t>
  </si>
  <si>
    <t xml:space="preserve"> - Thu khác (do ngành thuế quản lý)</t>
  </si>
  <si>
    <t>Thuế thu nhập cá nhân</t>
  </si>
  <si>
    <t>Thuế bảo vệ môi trường</t>
  </si>
  <si>
    <t>Lệ phí trước bạ</t>
  </si>
  <si>
    <t xml:space="preserve">Thu phí, lệ phí </t>
  </si>
  <si>
    <t>Thuế sử dụng đất nông nghiệp</t>
  </si>
  <si>
    <t>Thuế sử dụng đất phi nông nghiệp</t>
  </si>
  <si>
    <t>Tiền cho thuê đất, thuê mặt nước</t>
  </si>
  <si>
    <t>Thu tiền sử dụng đất</t>
  </si>
  <si>
    <t>Các khoản thu khác</t>
  </si>
  <si>
    <t>Thu từ hoạt động xổ số kiến thiết</t>
  </si>
  <si>
    <t>Thu tiền cấp quyền khai thác khoáng sản</t>
  </si>
  <si>
    <t>Thu khác ngân sách</t>
  </si>
  <si>
    <t>IV</t>
  </si>
  <si>
    <t>V</t>
  </si>
  <si>
    <t>C</t>
  </si>
  <si>
    <t>THU KẾT DƯ NĂM TRƯỚC</t>
  </si>
  <si>
    <t>THU CHUYỂN NGUỒN TỪ NĂM TRƯỚC CHUYỂN SANG</t>
  </si>
  <si>
    <t xml:space="preserve"> + Thu tiền sử dụng đất</t>
  </si>
  <si>
    <t>Thu bổ sung cân đối ngân sách</t>
  </si>
  <si>
    <t>Thu kết dư</t>
  </si>
  <si>
    <t>Thu chuyển nguồn từ năm trước chuyển sang</t>
  </si>
  <si>
    <t>VI</t>
  </si>
  <si>
    <t>5</t>
  </si>
  <si>
    <t>Dự phòng ngân sách</t>
  </si>
  <si>
    <t>6</t>
  </si>
  <si>
    <t>Chi nộp trả ngân sách cấp trên</t>
  </si>
  <si>
    <t>Chi chuyển giao ngân sách</t>
  </si>
  <si>
    <t>KẾT DƯ NGÂN SÁCH</t>
  </si>
  <si>
    <t xml:space="preserve">Dự toán </t>
  </si>
  <si>
    <t>Bao gồm</t>
  </si>
  <si>
    <t>Ngân sách cấp huyện</t>
  </si>
  <si>
    <t>Ngân sách xã</t>
  </si>
  <si>
    <t>Ngân 
sách xã</t>
  </si>
  <si>
    <t>1=2+3</t>
  </si>
  <si>
    <t>4=5+6</t>
  </si>
  <si>
    <t>7=4/1</t>
  </si>
  <si>
    <t>8=5/2</t>
  </si>
  <si>
    <t>9=6/3</t>
  </si>
  <si>
    <t xml:space="preserve">Chi đầu tư phát triển </t>
  </si>
  <si>
    <t>Chi đầu tư cho các dự án</t>
  </si>
  <si>
    <t>Chi nguồn vốn TPCP</t>
  </si>
  <si>
    <t>Trong đó: Chia theo lĩnh vực</t>
  </si>
  <si>
    <t xml:space="preserve"> Chi khoa học và công nghệ</t>
  </si>
  <si>
    <t>Trong đó: Chia theo nguồn vốn</t>
  </si>
  <si>
    <t>Chi đầu tư từ nguồn thu tiền sử dụng đất</t>
  </si>
  <si>
    <t>Chi đầu tư từ nguồn thu xổ số kiến thiết</t>
  </si>
  <si>
    <t>Chi đầu tư và hỗ trợ vốn cho các doanh nghiệp cung cấp sản phẩm, dịch vụ công ích do Nhà nước đặt hàng, các tổ chức kinh tế, các tổ chức tài chính của địa phương theo quy định của pháp luật</t>
  </si>
  <si>
    <t>Trong đó:</t>
  </si>
  <si>
    <t xml:space="preserve">  Chi khoa học và công nghệ </t>
  </si>
  <si>
    <t>(Chi tiết theo từng chương trình mục tiêu, nhiệm vụ)</t>
  </si>
  <si>
    <t xml:space="preserve">D </t>
  </si>
  <si>
    <t>QUYẾT TOÁN CHI NGÂN SÁCH HUYỆN, CHI NGÂN SÁCH CẤP HUYỆN</t>
  </si>
  <si>
    <t xml:space="preserve">Nội dung </t>
  </si>
  <si>
    <t>4=2/1</t>
  </si>
  <si>
    <t>Chi giáo dục - đào tạo và dạy nghề</t>
  </si>
  <si>
    <t>Chi khoa học và công nghệ</t>
  </si>
  <si>
    <t xml:space="preserve">Chi quốc phòng </t>
  </si>
  <si>
    <t>Chi an ninh và trật tự an toàn xã hội</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</si>
  <si>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</si>
  <si>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</si>
  <si>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</si>
  <si>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</si>
  <si>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</si>
  <si>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</si>
  <si>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</si>
  <si>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</si>
  <si>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Chi đầu tư khác</t>
  </si>
  <si>
    <t>Chi khoa học và công nghệ (2)</t>
  </si>
  <si>
    <t>Chi thường xuyên khác</t>
  </si>
  <si>
    <t>Biểu 98/CK-NSNN</t>
  </si>
  <si>
    <t>1.1</t>
  </si>
  <si>
    <t>1.2</t>
  </si>
  <si>
    <t>1.3</t>
  </si>
  <si>
    <t>1.4</t>
  </si>
  <si>
    <t>1.5</t>
  </si>
  <si>
    <t>1.6</t>
  </si>
  <si>
    <t>1.7</t>
  </si>
  <si>
    <t>1.8</t>
  </si>
  <si>
    <t>1.9</t>
  </si>
  <si>
    <t>1.10</t>
  </si>
  <si>
    <t>1.11</t>
  </si>
  <si>
    <t>1.12</t>
  </si>
  <si>
    <t>1.13</t>
  </si>
  <si>
    <t>7</t>
  </si>
  <si>
    <t>8</t>
  </si>
  <si>
    <t>9</t>
  </si>
  <si>
    <t>10</t>
  </si>
  <si>
    <t>11</t>
  </si>
  <si>
    <t>12</t>
  </si>
  <si>
    <t>13</t>
  </si>
  <si>
    <t>S
T
T</t>
  </si>
  <si>
    <t>Tên đơn vị</t>
  </si>
  <si>
    <t>Tổng số</t>
  </si>
  <si>
    <t>Chi chương trình MTQG</t>
  </si>
  <si>
    <t>Chi chuyển nguồn sang ngân sách năm sau</t>
  </si>
  <si>
    <t>TỔNG SỐ</t>
  </si>
  <si>
    <t>Cấp huyện</t>
  </si>
  <si>
    <t>2.1</t>
  </si>
  <si>
    <t>2.2</t>
  </si>
  <si>
    <t>2.3</t>
  </si>
  <si>
    <t>Trung tâm Bồi dưỡng chính trị</t>
  </si>
  <si>
    <t>2.4</t>
  </si>
  <si>
    <t>Trung tâm GDNN-GDTX</t>
  </si>
  <si>
    <t>2.5</t>
  </si>
  <si>
    <t>Văn phòng HĐND-UBND</t>
  </si>
  <si>
    <t>2.6</t>
  </si>
  <si>
    <t>Phòng Kinh tế và Hạ tầng</t>
  </si>
  <si>
    <t xml:space="preserve"> - Sự nghiệp giao thông</t>
  </si>
  <si>
    <t xml:space="preserve"> - Sự nghiệp khoa học</t>
  </si>
  <si>
    <t xml:space="preserve"> - Sự nghiệp kinh tế (CTĐT)</t>
  </si>
  <si>
    <t xml:space="preserve"> - Quản lý nhà nước</t>
  </si>
  <si>
    <t>2.7</t>
  </si>
  <si>
    <t>Phòng Tài nguyên Môi trường</t>
  </si>
  <si>
    <t xml:space="preserve"> - Sự nghiệp môi trường</t>
  </si>
  <si>
    <t xml:space="preserve"> - Quy hoạch</t>
  </si>
  <si>
    <t>2.8</t>
  </si>
  <si>
    <t>Phòng Nông nghiệp và PTNT</t>
  </si>
  <si>
    <t>2.9</t>
  </si>
  <si>
    <t>Phòng Văn hoá và Thông tin</t>
  </si>
  <si>
    <t>2.10</t>
  </si>
  <si>
    <t>Thanh tra Nhà nước</t>
  </si>
  <si>
    <t>2.11</t>
  </si>
  <si>
    <t>Phòng Tư pháp</t>
  </si>
  <si>
    <t>2.12</t>
  </si>
  <si>
    <t>Phòng Tài chính Kế hoạch</t>
  </si>
  <si>
    <t>2.13</t>
  </si>
  <si>
    <t>Phòng Lao động TB&amp;XH</t>
  </si>
  <si>
    <t xml:space="preserve"> - Chính sách</t>
  </si>
  <si>
    <t xml:space="preserve"> - BTXH</t>
  </si>
  <si>
    <t xml:space="preserve"> - Trẻ em</t>
  </si>
  <si>
    <t xml:space="preserve"> - Dạy nghề</t>
  </si>
  <si>
    <t>2.14</t>
  </si>
  <si>
    <t>Phòng Nội vụ</t>
  </si>
  <si>
    <t>2.16</t>
  </si>
  <si>
    <t>Phòng giáo dục</t>
  </si>
  <si>
    <t xml:space="preserve"> - Mầm non</t>
  </si>
  <si>
    <t xml:space="preserve"> - Tiểu học</t>
  </si>
  <si>
    <t xml:space="preserve"> - THCS</t>
  </si>
  <si>
    <t xml:space="preserve"> - Chuyên môn</t>
  </si>
  <si>
    <t>2.18</t>
  </si>
  <si>
    <t>Ban chấp hành Huyện đoàn</t>
  </si>
  <si>
    <t>2.19</t>
  </si>
  <si>
    <t>Hội Liên hiệp phụ nữ</t>
  </si>
  <si>
    <t>2.20</t>
  </si>
  <si>
    <t>Hội Nông dân</t>
  </si>
  <si>
    <t>2.21</t>
  </si>
  <si>
    <t>Mặt trận Tổ quốc</t>
  </si>
  <si>
    <t>2.22</t>
  </si>
  <si>
    <t>Hội Cựu chiến binh</t>
  </si>
  <si>
    <t>2.23</t>
  </si>
  <si>
    <t>Hội người cao tuổi</t>
  </si>
  <si>
    <t>2.24</t>
  </si>
  <si>
    <t>Hội người mù</t>
  </si>
  <si>
    <t>2.25</t>
  </si>
  <si>
    <t>Hội khuyến học</t>
  </si>
  <si>
    <t>2.26</t>
  </si>
  <si>
    <t>Hội chữ Thập đỏ</t>
  </si>
  <si>
    <t>2.27</t>
  </si>
  <si>
    <t>Hội Luật gia</t>
  </si>
  <si>
    <t>2.28</t>
  </si>
  <si>
    <t>2.29</t>
  </si>
  <si>
    <t>2.30</t>
  </si>
  <si>
    <t>Hội Cựu giáo chức</t>
  </si>
  <si>
    <t>2.31</t>
  </si>
  <si>
    <t>Văn phòng huyện ủy</t>
  </si>
  <si>
    <t>2.32</t>
  </si>
  <si>
    <t>Công an</t>
  </si>
  <si>
    <t>Quân sự</t>
  </si>
  <si>
    <t>2.34</t>
  </si>
  <si>
    <t>Ban quản lý dự án</t>
  </si>
  <si>
    <t>Các đơn vị khác</t>
  </si>
  <si>
    <t>Cấp xã</t>
  </si>
  <si>
    <t>UBND TT Cây Dương</t>
  </si>
  <si>
    <t>UBND TT Kinh Cùng</t>
  </si>
  <si>
    <t>UBND TT Búng Tàu</t>
  </si>
  <si>
    <t>UBND xã Tân Bình</t>
  </si>
  <si>
    <t>UBND xã Thạnh Hòa</t>
  </si>
  <si>
    <t>UBND xã Long Thạnh</t>
  </si>
  <si>
    <t>UBND xã Tân Long</t>
  </si>
  <si>
    <t>UBND xã Phụng Hiệp</t>
  </si>
  <si>
    <t>UBND xã Hiệp Hưng</t>
  </si>
  <si>
    <t>UBND xã T.Phước Hưng</t>
  </si>
  <si>
    <t>UBND xã Phương Phú</t>
  </si>
  <si>
    <t>UBND xã Phương Bình</t>
  </si>
  <si>
    <t>UBND xã Hòa An</t>
  </si>
  <si>
    <t>14</t>
  </si>
  <si>
    <t>UBND xã Hòa Mỹ</t>
  </si>
  <si>
    <t>15</t>
  </si>
  <si>
    <t>UBND xã Bình Thành</t>
  </si>
  <si>
    <t>DỰ PHÒNG NGÂN SÁCH</t>
  </si>
  <si>
    <t>Biểu 100/CK-NSNN</t>
  </si>
  <si>
    <t>S  
T
 T</t>
  </si>
  <si>
    <t>Tên đơn vị (1)</t>
  </si>
  <si>
    <t>Bổ  sung cân đối ngân sách</t>
  </si>
  <si>
    <t>Bổ sung có mục tiêu</t>
  </si>
  <si>
    <t>Vốn thực hiện các CTMT quốc gia</t>
  </si>
  <si>
    <t>Bổ sung vốn đầu tư để thực hiện các CTMT, nhiệm vụ</t>
  </si>
  <si>
    <t>Bổ sung vốn sự nghiệp thực hiện các chế độ, chính sách và nhiệm vụ theo quy định</t>
  </si>
  <si>
    <t>13=7/1</t>
  </si>
  <si>
    <t>14=8/2</t>
  </si>
  <si>
    <t>15=9/3</t>
  </si>
  <si>
    <t>16=10/4</t>
  </si>
  <si>
    <t>17=11/5</t>
  </si>
  <si>
    <t>18=12/6</t>
  </si>
  <si>
    <t>Biểu 101/CK-NSNN</t>
  </si>
  <si>
    <t>Nội dung   (1)</t>
  </si>
  <si>
    <t>Trong đó</t>
  </si>
  <si>
    <t xml:space="preserve">Chương trình mục tiêu quốc gia </t>
  </si>
  <si>
    <t>Đầu tư phát triển</t>
  </si>
  <si>
    <t>Kinh phí sự nghiệp</t>
  </si>
  <si>
    <t>Vốn  trong  nước</t>
  </si>
  <si>
    <t>Vốn  ngoài  nước</t>
  </si>
  <si>
    <t>14=4/1</t>
  </si>
  <si>
    <t>15=5/2</t>
  </si>
  <si>
    <t>16=6/3</t>
  </si>
  <si>
    <t>CT MTQG Nông thôn mới</t>
  </si>
  <si>
    <t>Phòng Lao động</t>
  </si>
  <si>
    <t>Biểu 102/CK-NSNN</t>
  </si>
  <si>
    <t>Chi các chương trình MTQG</t>
  </si>
  <si>
    <t>Chi các CTMT, nhiệm vụ</t>
  </si>
  <si>
    <t>Tổng thu 
NSNN</t>
  </si>
  <si>
    <t>Thu NS 
huyện</t>
  </si>
  <si>
    <t>(So sánh %)</t>
  </si>
  <si>
    <t>Biểu số 99/CK-NSNN</t>
  </si>
  <si>
    <t xml:space="preserve"> - Thuế tiêu thụ đặc biệt</t>
  </si>
  <si>
    <t>Chi bổ sung cho ngân sách cấp dưới</t>
  </si>
  <si>
    <t>Trong đó nguồn vốn TPCP</t>
  </si>
  <si>
    <t>Chi kết dư ngân sách</t>
  </si>
  <si>
    <t xml:space="preserve"> - Sự nghiệp</t>
  </si>
  <si>
    <t>Sự nghiệp giáo dục</t>
  </si>
  <si>
    <t>Sự nghiệp đào tạo</t>
  </si>
  <si>
    <t>Phòng Nông nghiệp</t>
  </si>
  <si>
    <t>Ngân sách địa phương</t>
  </si>
  <si>
    <t>TỔNG CHI NGÂN SÁCH HUYỆN</t>
  </si>
  <si>
    <t xml:space="preserve">  Chi giáo dục - đào tạo và dạy nghề</t>
  </si>
  <si>
    <t>CHI CÁC CHƯƠNG TRÌNH MỤC TIÊU</t>
  </si>
  <si>
    <t xml:space="preserve">CHI CHUYỂN NGUỒN SANG NĂM SAU </t>
  </si>
  <si>
    <t>CHI NỘP TRẢ NGÂN SÁCH CẤP TRÊN</t>
  </si>
  <si>
    <t xml:space="preserve"> Chi giáo dục - đào tạo và dạy nghề</t>
  </si>
  <si>
    <t>Thu từ quỹ đất công ích, hoa lợi công sản khác</t>
  </si>
  <si>
    <t>TỔNG NGUỒN THU NGÂN SÁCH HUYỆN</t>
  </si>
  <si>
    <t>Thu ngân sách huyện hưởng từ các khoản phân chia</t>
  </si>
  <si>
    <t>Thu bổ sung từ ngân sách cấp tỉnh</t>
  </si>
  <si>
    <t>Thu các khoản huy động, đóng góp</t>
  </si>
  <si>
    <t>TỔNG CHI NGÂN SÁCH CẤP HUYỆN</t>
  </si>
  <si>
    <t>CHI BỔ SUNG CÂN ĐỐI CHO NGÂN SÁCH XÃ</t>
  </si>
  <si>
    <t>CHI NGÂN SÁCH CẤP HUYỆN THEO LĨNH VỰC</t>
  </si>
  <si>
    <t>Thu từ cấp dưới nộp lên</t>
  </si>
  <si>
    <t>Chi cho vay</t>
  </si>
  <si>
    <t xml:space="preserve"> - Thu khác ngân sách địa phương hưởng</t>
  </si>
  <si>
    <t xml:space="preserve"> - Thu phạt VPHC do cơ quân thuế quản lý</t>
  </si>
  <si>
    <t xml:space="preserve"> - Thu phát ATGT</t>
  </si>
  <si>
    <t>Thu từ ngân sách cấp dưới nộp lên</t>
  </si>
  <si>
    <t>VII</t>
  </si>
  <si>
    <t xml:space="preserve"> - Sự nghiệp Văn hóa </t>
  </si>
  <si>
    <t xml:space="preserve"> - Sự nghiệp Thông tin </t>
  </si>
  <si>
    <t xml:space="preserve"> - Sự nghiệp Thể Thao </t>
  </si>
  <si>
    <t xml:space="preserve"> - Vốn CTMTQG</t>
  </si>
  <si>
    <t xml:space="preserve"> - BHYT</t>
  </si>
  <si>
    <t>Hội nạn nhân CĐDC-NKT-TMC</t>
  </si>
  <si>
    <t>Bảo hiểm Xã hội</t>
  </si>
  <si>
    <t>VIII</t>
  </si>
  <si>
    <t>TỔNG NGUỒN THU NSNN (A+B+C+D)</t>
  </si>
  <si>
    <t>Thu từ khu vực DNNN do trung ương quản lý (1)</t>
  </si>
  <si>
    <t>Thu từ khu vực DNNN do địa phương quản lý (2)</t>
  </si>
  <si>
    <t>Thu từ khu vực doanh nghiệp có vốn đầu tư nước ngoài (3)</t>
  </si>
  <si>
    <t>Thu từ khu vực kinh tế ngoài quốc doanh (4)</t>
  </si>
  <si>
    <t>Thuế  BVMT thu từ hàng hóa sản xuất, kinh doanh trong nước</t>
  </si>
  <si>
    <t>Thuế  BVMT thu từ hàng hóa nhập khẩu</t>
  </si>
  <si>
    <t xml:space="preserve"> Phí và lệ phí trung ương</t>
  </si>
  <si>
    <t xml:space="preserve"> Phí và lệ phí tỉnh</t>
  </si>
  <si>
    <t xml:space="preserve"> Phí và lệ phí huyện</t>
  </si>
  <si>
    <t xml:space="preserve"> Phí và lệ phí xã, phường</t>
  </si>
  <si>
    <t>Thu hồi vốn, thu cổ tức (5)</t>
  </si>
  <si>
    <t>Lợi nhuận được chia của Nhà nước và lợi nhuận sau thuế còn lại sau khi trích lập 
các quỹ của doanh nghiệp nhà nước (5)</t>
  </si>
  <si>
    <t>Chênh lệch thu chi Ngân hàng Nhà nước (5)</t>
  </si>
  <si>
    <t>Thu từ dầu thô</t>
  </si>
  <si>
    <t>Thu từ hoạt động xuất nhập khẩu</t>
  </si>
  <si>
    <t>Thu hoàn trả giữa các cấp ngân sách</t>
  </si>
  <si>
    <t>Thuế xuất khẩu</t>
  </si>
  <si>
    <t>Thuế nhập khẩu</t>
  </si>
  <si>
    <t>Thuế tiêu thụ đặc biệt thu từ hàng hóa nhập khẩu</t>
  </si>
  <si>
    <t>Thuế  bảo vệ môi trường thu từ hàng hóa nhập khẩu</t>
  </si>
  <si>
    <t>Thuế giá trị gia tăng thu từ hàng hóa nhập khẩu</t>
  </si>
  <si>
    <t>Thu khác</t>
  </si>
  <si>
    <t>THU TỪ QUỸ DỰ TRỮ TÀI CHÍNH</t>
  </si>
  <si>
    <t>D</t>
  </si>
  <si>
    <t>Chi cho vay (vốn ủy thác qua NHCS)</t>
  </si>
  <si>
    <t xml:space="preserve"> - Sự nghiệp thủy lợi (TLP, NĐ 62)</t>
  </si>
  <si>
    <t xml:space="preserve"> - Đào tạo</t>
  </si>
  <si>
    <t xml:space="preserve"> - Sự nghiệp kinh tế</t>
  </si>
  <si>
    <t xml:space="preserve"> - Sự nghiệp kinh tế khác</t>
  </si>
  <si>
    <t>Tiết kiệm 10% chi cải cách tiền lương</t>
  </si>
  <si>
    <t>Chi mục tiêu</t>
  </si>
  <si>
    <t>Chi khen thưởng</t>
  </si>
  <si>
    <t>Dự toán (1)</t>
  </si>
  <si>
    <r>
      <t>Chi đầu tư phát triển</t>
    </r>
    <r>
      <rPr>
        <sz val="14"/>
        <rFont val="Times New Roman"/>
        <family val="1"/>
      </rPr>
      <t xml:space="preserve"> (Không kể chương trình MTQG)</t>
    </r>
  </si>
  <si>
    <r>
      <t>Chi thường xuyên</t>
    </r>
    <r>
      <rPr>
        <sz val="14"/>
        <rFont val="Times New Roman"/>
        <family val="1"/>
      </rPr>
      <t xml:space="preserve"> (Không kể chương trình MTQG)</t>
    </r>
  </si>
  <si>
    <t>Chi trả nợ lãi do chính quyền địa phương vay (2)</t>
  </si>
  <si>
    <t>Chi bổ sung quỹ dự trữ tài chính (2)</t>
  </si>
  <si>
    <t>13=4/1</t>
  </si>
  <si>
    <t>14=5/2</t>
  </si>
  <si>
    <t>15=6/3</t>
  </si>
  <si>
    <t xml:space="preserve"> - Sự nghiệp môi trường (CT. MTQG)</t>
  </si>
  <si>
    <t>TỔNG CHI NSĐP</t>
  </si>
  <si>
    <t>CHI CÂN ĐỐI NSĐP</t>
  </si>
  <si>
    <t>Chi đầu tư phát triển khác (vốn ủy thác NHCS)</t>
  </si>
  <si>
    <t>Chi trả nợ lãi các khoản do chính quyền địa phương vay</t>
  </si>
  <si>
    <t>Chi các chương trình mục tiêu quốc gia</t>
  </si>
  <si>
    <t>(Chi tiết theo từng Chương trình mục tiêu quốc gia)</t>
  </si>
  <si>
    <t>Chi các chương trình mục tiêu, nhiệm vụ</t>
  </si>
  <si>
    <t>Trung tâm VHTT-TT-Truyền thanh</t>
  </si>
  <si>
    <t xml:space="preserve"> - Sự nghiệp truyền thanh</t>
  </si>
  <si>
    <t xml:space="preserve"> - Sự nghiệp kinh tế khác 338</t>
  </si>
  <si>
    <t xml:space="preserve"> - Sự nghiệp kinh tế khác 281</t>
  </si>
  <si>
    <t xml:space="preserve"> - Đào tạo (sau đại học)</t>
  </si>
  <si>
    <t xml:space="preserve"> - BTXH (vốn CTMTQG 398)</t>
  </si>
  <si>
    <t xml:space="preserve"> - Dạy nghề (vốn CTMTQG 075)</t>
  </si>
  <si>
    <t xml:space="preserve"> - Dạy nghề (vốn CTMTQG 098)</t>
  </si>
  <si>
    <t xml:space="preserve"> - Khen thưởng</t>
  </si>
  <si>
    <t>CHI CHUYỂN NGUỒN SANG NGÂN SÁCH NĂM SAU (CCTL+TKC)</t>
  </si>
  <si>
    <t>Đào tạo nghề lao động nông thôn</t>
  </si>
  <si>
    <t>Trường Tiểu học Phương Phú 1 (7966149)</t>
  </si>
  <si>
    <t>Trung tâm Văn hóa-Thể thao xã Hiệp Hưng (7966147)</t>
  </si>
  <si>
    <t>Nhà Văn hóa ấp Hưng Thạnh (7966156)</t>
  </si>
  <si>
    <t>Nhà Văn hóa - Khu thể thao ấp Long Phụng (7966148)</t>
  </si>
  <si>
    <t>Nhà Văn hóa - Khu thể thao ấp Mỹ Lợi A (7966162)</t>
  </si>
  <si>
    <t>Nhà Văn hóa ấp Mỹ Lợi B (7966160)</t>
  </si>
  <si>
    <t>Nhà Văn hóa - Khu thể thao ấp Hiệp Hòa (7966161)</t>
  </si>
  <si>
    <t>Nhà Văn hóa ấp Lái Hiếu (7966158)</t>
  </si>
  <si>
    <t>Nhà Văn hóa - Khu thể thao ấp Mỹ Chánh (7966157)</t>
  </si>
  <si>
    <t>Nhà Văn hóa ấp Mỹ Chánh A (7966167)</t>
  </si>
  <si>
    <t>Nhà Văn hóa - Khu thể thao ấp Quyết thắng (7966163)</t>
  </si>
  <si>
    <t>Nhà Văn hóa ấp Quyết Thắng B (7966159)</t>
  </si>
  <si>
    <t>Vốn CT MTQG giảm nghèo bền vững</t>
  </si>
  <si>
    <t>CT MTQG 135</t>
  </si>
  <si>
    <t>Phòng Lao động TBXH</t>
  </si>
  <si>
    <t xml:space="preserve">Phát triển giáo dục nghề nghiệp vùng khó khăn </t>
  </si>
  <si>
    <t>Hỗ trợ việc làm bền vững</t>
  </si>
  <si>
    <t>Truyền thông về giảm nghèo đa chiều</t>
  </si>
  <si>
    <t>Nâng cao năng lực thực hiện chương trình</t>
  </si>
  <si>
    <t>Giám sát, đánh giá</t>
  </si>
  <si>
    <t>Phòng Văn hóa và Thông tin</t>
  </si>
  <si>
    <t>1.1.1</t>
  </si>
  <si>
    <t>Đa dạng hóa sinh kế, phát triển mô hình giảm nghèo</t>
  </si>
  <si>
    <t>1.1.2</t>
  </si>
  <si>
    <t>1.1.3</t>
  </si>
  <si>
    <t>UBND xã Tân Phước Hưng</t>
  </si>
  <si>
    <t>1.1.4</t>
  </si>
  <si>
    <t>1.1.5</t>
  </si>
  <si>
    <t>CÂN ĐỐI NGÂN SÁCH HUYỆN NĂM 2023</t>
  </si>
  <si>
    <t>QUYẾT TOÁN THU NGÂN SÁCH NHÀ NƯỚC NĂM 2023</t>
  </si>
  <si>
    <t>VÀ CHI NGÂN SÁCH XÃ THEO CƠ CẤU CHI NĂM 2023</t>
  </si>
  <si>
    <t>QUYẾT TOÁN CHI NGÂN SÁCH CẤP HUYỆN THEO LĨNH VỰC NĂM 2023</t>
  </si>
  <si>
    <t>Chi sự nghiệp văn hóa thông tin</t>
  </si>
  <si>
    <t>Chi sự nghiệp thể thao</t>
  </si>
  <si>
    <t>Chi sự nghiệp phát thanh</t>
  </si>
  <si>
    <t xml:space="preserve"> - Sự nghiệp giao thông (Vốn CTMTQG)</t>
  </si>
  <si>
    <t>2.15</t>
  </si>
  <si>
    <t xml:space="preserve"> - Đoàn thể</t>
  </si>
  <si>
    <t>2.17</t>
  </si>
  <si>
    <t>Hội người mù - CĐDC-KT và BVQTE</t>
  </si>
  <si>
    <t>Hội Đông y</t>
  </si>
  <si>
    <t xml:space="preserve"> - Đảng</t>
  </si>
  <si>
    <t xml:space="preserve"> - Đào tạo </t>
  </si>
  <si>
    <t xml:space="preserve"> - Sự nghiệp Văn hóa (Vốn CT MTQG)</t>
  </si>
  <si>
    <t>2.33</t>
  </si>
  <si>
    <t>QUYẾT TOÁN CHI NGÂN SÁCH CẤP HUYỆN CHO TỪNG CƠ QUAN, TỔ CHỨC NĂM 2023</t>
  </si>
  <si>
    <t>QUYẾT TOÁN CHI BỔ SUNG TỪ NGÂN SÁCH CẤP HUYỆN CHO NGÂN SÁCH TỪNG XÃ, THỊ TRẤN NĂM 2023</t>
  </si>
  <si>
    <t>QUYẾT TOÁN CHI CHƯƠNG TRÌNH MỤC TIÊU QUỐC GIA CẤP HUYỆN VÀ NGÂN SÁCH XÃ NĂM 2023</t>
  </si>
  <si>
    <t>Chia ra</t>
  </si>
  <si>
    <t>Đào tạo nghề lao động nông thôn lĩnh vực phi nông nghiệp (00493)</t>
  </si>
  <si>
    <t>Kiểm tra, giám sát, đánh giá tình hình thực hiện Đề án (đào tạo nghề LĐNT-00493)</t>
  </si>
  <si>
    <t xml:space="preserve"> Tăng cường công tác giám sát, đánh giá thực hiện chương trình; nâng cao năng lực, truyền thông xây dựng nông thôn mới; thực hiện phong trào thi đua cả nước chung sức xây dựng nông thôn mới (quản lý thực hiện chương trình)</t>
  </si>
  <si>
    <t>Chương trình mỗi xã một sản phẩm OCOP (00493)</t>
  </si>
  <si>
    <t>Kiểm tra, đánh giá thực hiện đào tạo nghề lao động nông thôn</t>
  </si>
  <si>
    <t>Tăng cường cơ sở vật chất cho hệ thống thông tin và truyền thông cơ sở (00492)</t>
  </si>
  <si>
    <t>Thực hiện chương trình phát triển du lịch nông thôn trong xây dựng nông thôn mới (00493)</t>
  </si>
  <si>
    <t>Nâng cao hiệu quả hoạt động của hệ thống thiết chế văn hóa, thể thao cơ sở</t>
  </si>
  <si>
    <t>Phòng Giáo dục</t>
  </si>
  <si>
    <t>Nâng cao chất lượng, phát triển giáo dục ở nông thôn</t>
  </si>
  <si>
    <t>Phòng Tài nguyên và Môi trường</t>
  </si>
  <si>
    <t>Thực hiện các Đề án/Kế hoạch tổ chức 
phân loại, thu gom, vận chuyển chất thải rắn trên địa bàn huyện; phát triển, nhân rộng các mô hình phân loại chất thải tại nguồn phát sinh (261-00497)</t>
  </si>
  <si>
    <t xml:space="preserve"> Hỗ trợ thực hiện Chương trình tăng cường bảo vệ môi trường, an toàn thực phẩm và cấp nước sạch nông thôn trong xây dựng nông thôn mới (278-00497)</t>
  </si>
  <si>
    <t xml:space="preserve"> Duy tu, bảo dưỡng và vận hành các công trình đầu tư sau khi đã hoàn thành đưa vào sử dụng (Duy tu, sửa chữa tuyến lộ Hai Sến - Hai Muôn, xã Phương Phú (292-00492))</t>
  </si>
  <si>
    <t xml:space="preserve"> Duy tu, bảo dưỡng và vận hành các công trình đầu tư sau khi đã hoàn thành đưa vào sử dụng (Duy tu sửa chữa nhà Văn hóa xã, nhà văn hóa ấp (xã Phương Phú) (161-00492))</t>
  </si>
  <si>
    <t>Trường TH Hiệp Hưng 1 (7966166)</t>
  </si>
  <si>
    <t>Nhà Văn hóa ấp Tầm Vu 3 (8037646)</t>
  </si>
  <si>
    <t>Nhà Văn hóa ấp Nhất A (8037647)</t>
  </si>
  <si>
    <t>Trường MG Thạnh Hòa (8043045)</t>
  </si>
  <si>
    <t>2.1.1</t>
  </si>
  <si>
    <t>2.1.2</t>
  </si>
  <si>
    <t>2.1.3</t>
  </si>
  <si>
    <t>Phòng Văn hóa TT</t>
  </si>
  <si>
    <t>Gi ảm nghèo về thông tin</t>
  </si>
  <si>
    <t>Hỗ trợ phát triển sản xuất trong lĩnh vực nông nghiệp (DA3, TDA 1)</t>
  </si>
  <si>
    <t>1.1.6</t>
  </si>
  <si>
    <t>1.1.7</t>
  </si>
  <si>
    <t>1.1.8</t>
  </si>
  <si>
    <t>1.1.9</t>
  </si>
  <si>
    <t>1.1.10</t>
  </si>
  <si>
    <t>1.1.11</t>
  </si>
  <si>
    <t>1.1.12</t>
  </si>
  <si>
    <t>UBND thị trấn Cây Dương</t>
  </si>
  <si>
    <t>UBND thị trấn Kinh Cùng</t>
  </si>
  <si>
    <t>1.1.13</t>
  </si>
  <si>
    <t>UBND thị trấn Búng Tàu</t>
  </si>
  <si>
    <t>1.1.14</t>
  </si>
  <si>
    <t>(Đính kèm Quyết định số:         /QĐ-UBND ngày      /7/2024 của UBND huyện Phụng Hiệp)</t>
  </si>
  <si>
    <t>So sánh 
(%)</t>
  </si>
  <si>
    <t>CHI TẠO NGUỒN, ĐIỀU CHỈNH TIỀN LƯƠNG</t>
  </si>
  <si>
    <t xml:space="preserve">CHI BỔ SUNG CÓ MỤC TIÊU CHO NGÂN SÁCH CẤP DƯỚI </t>
  </si>
  <si>
    <t xml:space="preserve">CHI TRẢ NỢ LÃI DO CHÍNH 
QUYỀN ĐỊA PHƯƠNG VAY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</si>
</sst>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
  </numFmts>
  <fonts count="35">
    <font>
      <sz val="11"/>
      <color theme="1"/>
      <name val="Calibri"/>
      <family val="2"/>
      <scheme val="minor"/>
    </font>
    <font>
      <sz val="14"/>
      <color theme="1"/>
      <name val="Times New Roman"/>
      <family val="1"/>
    </font>
    <font>
      <b/>
      <sz val="14"/>
      <color theme="1"/>
      <name val="Times New Roman"/>
      <family val="1"/>
    </font>
    <font>
      <i/>
      <sz val="14"/>
      <color theme="1"/>
      <name val="Times New Roman"/>
      <family val="1"/>
    </font>
    <font>
      <sz val="11"/>
      <color theme="1"/>
      <name val="Calibri"/>
      <family val="2"/>
      <scheme val="minor"/>
    </font>
    <font>
      <b/>
      <sz val="14"/>
      <name val="Times New Roman"/>
      <family val="1"/>
    </font>
    <font>
      <sz val="12"/>
      <name val=".VnTime"/>
      <family val="2"/>
    </font>
    <font>
      <sz val="14"/>
      <name val="Times New Roman"/>
      <family val="1"/>
    </font>
    <font>
      <b/>
      <u/>
      <sz val="14"/>
      <name val="Times New Roman"/>
      <family val="1"/>
    </font>
    <font>
      <i/>
      <sz val="14"/>
      <name val="Times New Roman"/>
      <family val="1"/>
    </font>
    <font>
      <b/>
      <sz val="12"/>
      <name val="Times New Roman"/>
      <family val="1"/>
    </font>
    <font>
      <sz val="12"/>
      <name val="Times New Roman"/>
      <family val="1"/>
    </font>
    <font>
      <i/>
      <sz val="12"/>
      <name val="Times New Roman"/>
      <family val="1"/>
    </font>
    <font>
      <sz val="13"/>
      <name val="Times New Roman"/>
      <family val="1"/>
    </font>
    <font>
      <b/>
      <sz val="11"/>
      <name val="Times New Roman"/>
      <family val="1"/>
    </font>
    <font>
      <b/>
      <sz val="14"/>
      <name val="Times New Roman h"/>
    </font>
    <font>
      <b/>
      <i/>
      <sz val="14"/>
      <name val="Times New Roman"/>
      <family val="1"/>
    </font>
    <font>
      <sz val="11"/>
      <name val="Times New Roman"/>
      <family val="1"/>
    </font>
    <font>
      <sz val="13"/>
      <name val="VnTime"/>
    </font>
    <font>
      <b/>
      <i/>
      <sz val="12"/>
      <name val="Times New Roman"/>
      <family val="1"/>
    </font>
    <font>
      <sz val="14"/>
      <name val=".VnTime"/>
      <family val="2"/>
    </font>
    <font>
      <sz val="12"/>
      <color theme="1"/>
      <name val="Times New Roman"/>
      <family val="1"/>
    </font>
    <font>
      <b/>
      <sz val="16"/>
      <name val="Times New Roman"/>
      <family val="1"/>
    </font>
    <font>
      <i/>
      <sz val="11"/>
      <name val="Times New Roman"/>
      <family val="1"/>
    </font>
    <font>
      <b/>
      <i/>
      <sz val="12"/>
      <color rgb="FF0070C0"/>
      <name val="Times New Roman"/>
      <family val="1"/>
    </font>
    <font>
      <b/>
      <sz val="14"/>
      <color rgb="FF0070C0"/>
      <name val="Times New Roman"/>
      <family val="1"/>
    </font>
    <font>
      <sz val="13"/>
      <name val="VNI-Times"/>
    </font>
    <font>
      <b/>
      <u/>
      <sz val="12"/>
      <name val="Times New Roman"/>
      <family val="1"/>
    </font>
    <font>
      <sz val="8"/>
      <name val="Calibri"/>
      <family val="2"/>
      <scheme val="minor"/>
    </font>
    <font>
      <sz val="13"/>
      <color theme="1"/>
      <name val="Times New Roman"/>
      <family val="1"/>
    </font>
    <font>
      <b/>
      <sz val="13"/>
      <color theme="1"/>
      <name val="Times New Roman"/>
      <family val="1"/>
    </font>
    <font>
      <i/>
      <sz val="13"/>
      <color theme="1"/>
      <name val="Times New Roman"/>
      <family val="1"/>
    </font>
    <font>
      <i/>
      <sz val="10"/>
      <name val="Times New Roman"/>
      <family val="1"/>
    </font>
    <font>
      <b/>
      <sz val="13"/>
      <name val="Times New Roman"/>
      <family val="1"/>
    </font>
    <font>
      <i/>
      <sz val="13"/>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auto="1"/>
      </left>
      <right style="thin">
        <color auto="1"/>
      </right>
      <top style="hair">
        <color auto="1"/>
      </top>
      <bottom style="hair">
        <color auto="1"/>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43" fontId="4" fillId="0" borderId="0" applyFont="0" applyFill="0" applyBorder="0" applyAlignment="0" applyProtection="0"/>
    <xf numFmtId="0" fontId="6" fillId="0" borderId="0"/>
    <xf numFmtId="0" fontId="18" fillId="0" borderId="0"/>
    <xf numFmtId="0" fontId="20" fillId="0" borderId="0" applyProtection="0"/>
    <xf numFmtId="0" fontId="26" fillId="0" borderId="0"/>
  </cellStyleXfs>
  <cellXfs count="227">
    <xf numFmtId="0" fontId="0" fillId="0" borderId="0" xfId="0"/>
    <xf numFmtId="0" fontId="1" fillId="0" borderId="0" xfId="0" applyFont="1"/>
    <xf numFmtId="0" fontId="2" fillId="0" borderId="0" xfId="0" applyFont="1" applyAlignment="1">
      <alignment horizontal="center"/>
    </xf>
    <xf numFmtId="0" fontId="1" fillId="0" borderId="0" xfId="0" applyFont="1" applyAlignment="1">
      <alignment vertical="center"/>
    </xf>
    <xf numFmtId="0" fontId="2" fillId="0" borderId="0" xfId="0" applyFont="1"/>
    <xf numFmtId="164" fontId="1" fillId="0" borderId="0" xfId="0" applyNumberFormat="1" applyFont="1"/>
    <xf numFmtId="0" fontId="11" fillId="0" borderId="0" xfId="0" applyFont="1" applyAlignment="1">
      <alignment horizontal="centerContinuous"/>
    </xf>
    <xf numFmtId="0" fontId="5" fillId="0" borderId="0" xfId="0" applyFont="1" applyAlignment="1">
      <alignment horizontal="centerContinuous"/>
    </xf>
    <xf numFmtId="0" fontId="11" fillId="0" borderId="0" xfId="0" applyFont="1"/>
    <xf numFmtId="0" fontId="9" fillId="0" borderId="0" xfId="0" applyFont="1" applyAlignment="1">
      <alignment horizontal="left"/>
    </xf>
    <xf numFmtId="0" fontId="7" fillId="0" borderId="0" xfId="0" applyFont="1"/>
    <xf numFmtId="0" fontId="13" fillId="0" borderId="0" xfId="0" applyFont="1"/>
    <xf numFmtId="0" fontId="9" fillId="0" borderId="0" xfId="0" applyFont="1"/>
    <xf numFmtId="0" fontId="5" fillId="0" borderId="0" xfId="0" applyFont="1"/>
    <xf numFmtId="0" fontId="10" fillId="0" borderId="0" xfId="0" applyFont="1"/>
    <xf numFmtId="0" fontId="16" fillId="0" borderId="0" xfId="0" applyFont="1"/>
    <xf numFmtId="0" fontId="12" fillId="0" borderId="0" xfId="0" applyFont="1"/>
    <xf numFmtId="0" fontId="17" fillId="0" borderId="0" xfId="0" applyFont="1"/>
    <xf numFmtId="0" fontId="11" fillId="0" borderId="0" xfId="0" applyFont="1" applyAlignment="1">
      <alignment horizontal="right"/>
    </xf>
    <xf numFmtId="43" fontId="13" fillId="0" borderId="0" xfId="1" applyFont="1"/>
    <xf numFmtId="43" fontId="5" fillId="0" borderId="0" xfId="1" applyFont="1"/>
    <xf numFmtId="3" fontId="7" fillId="0" borderId="0" xfId="0" applyNumberFormat="1" applyFont="1"/>
    <xf numFmtId="3" fontId="9" fillId="0" borderId="0" xfId="0" applyNumberFormat="1" applyFont="1"/>
    <xf numFmtId="0" fontId="9" fillId="0" borderId="0" xfId="0" applyFont="1" applyAlignment="1">
      <alignment vertical="center"/>
    </xf>
    <xf numFmtId="0" fontId="7" fillId="0" borderId="0" xfId="0" applyFont="1" applyAlignment="1">
      <alignment vertical="center"/>
    </xf>
    <xf numFmtId="3" fontId="9" fillId="0" borderId="0" xfId="0" applyNumberFormat="1" applyFont="1" applyAlignment="1">
      <alignment vertical="center"/>
    </xf>
    <xf numFmtId="164" fontId="11" fillId="0" borderId="0" xfId="1" applyNumberFormat="1" applyFont="1" applyAlignment="1">
      <alignment horizontal="centerContinuous"/>
    </xf>
    <xf numFmtId="164" fontId="11" fillId="0" borderId="0" xfId="1" applyNumberFormat="1" applyFont="1"/>
    <xf numFmtId="0" fontId="5" fillId="0" borderId="0" xfId="0" applyFont="1" applyAlignment="1">
      <alignment vertical="center"/>
    </xf>
    <xf numFmtId="0" fontId="11" fillId="0" borderId="0" xfId="2" applyFont="1" applyAlignment="1">
      <alignment horizontal="centerContinuous"/>
    </xf>
    <xf numFmtId="0" fontId="5" fillId="0" borderId="0" xfId="2" applyFont="1" applyAlignment="1">
      <alignment horizontal="centerContinuous"/>
    </xf>
    <xf numFmtId="0" fontId="11" fillId="0" borderId="0" xfId="2" applyFont="1"/>
    <xf numFmtId="0" fontId="5" fillId="0" borderId="0" xfId="4" applyFont="1" applyAlignment="1">
      <alignment vertical="center" wrapText="1"/>
    </xf>
    <xf numFmtId="164" fontId="9" fillId="0" borderId="0" xfId="1" applyNumberFormat="1" applyFont="1" applyAlignment="1">
      <alignment horizontal="center"/>
    </xf>
    <xf numFmtId="0" fontId="9" fillId="0" borderId="0" xfId="2" applyFont="1" applyAlignment="1">
      <alignment horizontal="left"/>
    </xf>
    <xf numFmtId="0" fontId="7" fillId="0" borderId="0" xfId="2" applyFont="1"/>
    <xf numFmtId="0" fontId="9" fillId="0" borderId="0" xfId="2" applyFont="1" applyAlignment="1">
      <alignment horizontal="center"/>
    </xf>
    <xf numFmtId="0" fontId="10" fillId="0" borderId="0" xfId="2" applyFont="1" applyAlignment="1">
      <alignment vertical="center"/>
    </xf>
    <xf numFmtId="0" fontId="10" fillId="0" borderId="0" xfId="2" applyFont="1"/>
    <xf numFmtId="0" fontId="5" fillId="0" borderId="1" xfId="0" applyFont="1" applyBorder="1" applyAlignment="1">
      <alignment vertical="center" wrapText="1"/>
    </xf>
    <xf numFmtId="164" fontId="11" fillId="0" borderId="0" xfId="1" applyNumberFormat="1" applyFont="1" applyAlignment="1">
      <alignment horizontal="center"/>
    </xf>
    <xf numFmtId="0" fontId="24" fillId="0" borderId="0" xfId="0" applyFont="1"/>
    <xf numFmtId="0" fontId="19" fillId="0" borderId="0" xfId="0" applyFont="1"/>
    <xf numFmtId="0" fontId="25" fillId="0" borderId="0" xfId="0" applyFont="1"/>
    <xf numFmtId="0" fontId="12" fillId="0" borderId="0" xfId="2" applyFont="1"/>
    <xf numFmtId="3" fontId="1" fillId="0" borderId="0" xfId="0" applyNumberFormat="1" applyFont="1"/>
    <xf numFmtId="0" fontId="5" fillId="0" borderId="4" xfId="0" applyFont="1" applyBorder="1" applyAlignment="1">
      <alignment horizontal="center"/>
    </xf>
    <xf numFmtId="0" fontId="5" fillId="0" borderId="4" xfId="0" applyFont="1" applyBorder="1"/>
    <xf numFmtId="0" fontId="7" fillId="0" borderId="4" xfId="0" applyFont="1" applyBorder="1" applyAlignment="1">
      <alignment horizontal="center"/>
    </xf>
    <xf numFmtId="0" fontId="7" fillId="0" borderId="4" xfId="0" applyFont="1" applyBorder="1"/>
    <xf numFmtId="3" fontId="7" fillId="0" borderId="4" xfId="0" applyNumberFormat="1" applyFont="1" applyBorder="1"/>
    <xf numFmtId="0" fontId="7" fillId="0" borderId="4" xfId="0" quotePrefix="1" applyFont="1" applyBorder="1" applyAlignment="1">
      <alignment horizontal="center"/>
    </xf>
    <xf numFmtId="0" fontId="5" fillId="0" borderId="4" xfId="0" applyFont="1" applyBorder="1" applyAlignment="1">
      <alignment wrapText="1"/>
    </xf>
    <xf numFmtId="164" fontId="10" fillId="0" borderId="0" xfId="1" applyNumberFormat="1" applyFont="1" applyAlignment="1"/>
    <xf numFmtId="3" fontId="11" fillId="0" borderId="0" xfId="0" applyNumberFormat="1" applyFont="1"/>
    <xf numFmtId="0" fontId="12" fillId="0" borderId="0" xfId="0" applyFont="1" applyAlignment="1">
      <alignment horizontal="center"/>
    </xf>
    <xf numFmtId="164" fontId="12" fillId="0" borderId="0" xfId="1" applyNumberFormat="1" applyFont="1" applyBorder="1" applyAlignment="1">
      <alignment horizontal="center"/>
    </xf>
    <xf numFmtId="43" fontId="10" fillId="0" borderId="4" xfId="1" applyFont="1" applyBorder="1"/>
    <xf numFmtId="43" fontId="11" fillId="0" borderId="4" xfId="1" applyFont="1" applyBorder="1"/>
    <xf numFmtId="43" fontId="12" fillId="0" borderId="0" xfId="1" applyFont="1" applyBorder="1" applyAlignment="1">
      <alignment horizontal="center"/>
    </xf>
    <xf numFmtId="43" fontId="11" fillId="0" borderId="0" xfId="1" applyFont="1"/>
    <xf numFmtId="43" fontId="12" fillId="0" borderId="0" xfId="1" applyFont="1" applyBorder="1" applyAlignment="1">
      <alignment horizontal="right"/>
    </xf>
    <xf numFmtId="0" fontId="10" fillId="0" borderId="4" xfId="0" applyFont="1" applyBorder="1" applyAlignment="1">
      <alignment horizontal="center"/>
    </xf>
    <xf numFmtId="0" fontId="10" fillId="0" borderId="4" xfId="0" applyFont="1" applyBorder="1"/>
    <xf numFmtId="0" fontId="11" fillId="0" borderId="4" xfId="0" quotePrefix="1" applyFont="1" applyBorder="1" applyAlignment="1">
      <alignment horizontal="center"/>
    </xf>
    <xf numFmtId="3" fontId="11" fillId="0" borderId="4" xfId="2" applyNumberFormat="1" applyFont="1" applyBorder="1"/>
    <xf numFmtId="164" fontId="11" fillId="0" borderId="0" xfId="0" applyNumberFormat="1" applyFont="1"/>
    <xf numFmtId="3" fontId="5" fillId="0" borderId="4" xfId="0" applyNumberFormat="1" applyFont="1" applyBorder="1"/>
    <xf numFmtId="43" fontId="5" fillId="0" borderId="4" xfId="1" applyFont="1" applyBorder="1"/>
    <xf numFmtId="164" fontId="5" fillId="0" borderId="4" xfId="1" applyNumberFormat="1" applyFont="1" applyBorder="1"/>
    <xf numFmtId="164" fontId="7" fillId="0" borderId="4" xfId="1" applyNumberFormat="1" applyFont="1" applyBorder="1"/>
    <xf numFmtId="43" fontId="7" fillId="0" borderId="4" xfId="1" applyFont="1" applyBorder="1"/>
    <xf numFmtId="43" fontId="21" fillId="0" borderId="0" xfId="1" applyFont="1" applyAlignment="1"/>
    <xf numFmtId="0" fontId="11" fillId="0" borderId="4" xfId="5" applyFont="1" applyBorder="1" applyAlignment="1">
      <alignment horizontal="left" vertical="center" wrapText="1"/>
    </xf>
    <xf numFmtId="0" fontId="10" fillId="0" borderId="4" xfId="5" applyFont="1" applyBorder="1" applyAlignment="1">
      <alignment horizontal="left" vertical="center" wrapText="1"/>
    </xf>
    <xf numFmtId="0" fontId="11" fillId="0" borderId="4" xfId="0" applyFont="1" applyBorder="1" applyAlignment="1">
      <alignment horizontal="center"/>
    </xf>
    <xf numFmtId="0" fontId="10" fillId="0" borderId="4" xfId="0" applyFont="1" applyBorder="1" applyAlignment="1">
      <alignment vertical="center" wrapText="1"/>
    </xf>
    <xf numFmtId="0" fontId="23" fillId="0" borderId="4" xfId="0" applyFont="1" applyBorder="1" applyAlignment="1">
      <alignment horizontal="center" vertical="center"/>
    </xf>
    <xf numFmtId="164" fontId="23" fillId="0" borderId="4" xfId="1" applyNumberFormat="1" applyFont="1" applyBorder="1" applyAlignment="1">
      <alignment horizontal="center" vertical="center"/>
    </xf>
    <xf numFmtId="0" fontId="23" fillId="0" borderId="4" xfId="0" quotePrefix="1" applyFont="1" applyBorder="1" applyAlignment="1">
      <alignment horizontal="center" vertical="center"/>
    </xf>
    <xf numFmtId="164" fontId="9" fillId="0" borderId="4" xfId="1" applyNumberFormat="1" applyFont="1" applyBorder="1"/>
    <xf numFmtId="0" fontId="9" fillId="0" borderId="4" xfId="0" quotePrefix="1" applyFont="1" applyBorder="1" applyAlignment="1">
      <alignment horizontal="center"/>
    </xf>
    <xf numFmtId="0" fontId="9" fillId="0" borderId="4" xfId="0" applyFont="1" applyBorder="1" applyAlignment="1">
      <alignment horizontal="center"/>
    </xf>
    <xf numFmtId="0" fontId="13" fillId="0" borderId="4" xfId="0" applyFont="1" applyBorder="1" applyAlignment="1">
      <alignment vertical="center"/>
    </xf>
    <xf numFmtId="0" fontId="11" fillId="0" borderId="4" xfId="0" applyFont="1" applyBorder="1" applyAlignment="1">
      <alignment vertical="center"/>
    </xf>
    <xf numFmtId="164" fontId="11" fillId="0" borderId="4" xfId="1" applyNumberFormat="1" applyFont="1" applyBorder="1" applyAlignment="1">
      <alignment horizontal="center" vertical="center"/>
    </xf>
    <xf numFmtId="0" fontId="3" fillId="0" borderId="0" xfId="0" applyFont="1" applyAlignment="1">
      <alignment horizontal="center"/>
    </xf>
    <xf numFmtId="0" fontId="5" fillId="0" borderId="4" xfId="0" applyFont="1" applyBorder="1" applyAlignment="1">
      <alignment horizontal="center" vertical="center"/>
    </xf>
    <xf numFmtId="0" fontId="9" fillId="0" borderId="0" xfId="0" applyFont="1" applyAlignment="1">
      <alignment horizontal="center"/>
    </xf>
    <xf numFmtId="0" fontId="11" fillId="0" borderId="0" xfId="0" applyFont="1" applyAlignment="1">
      <alignment horizontal="center"/>
    </xf>
    <xf numFmtId="0" fontId="5" fillId="0" borderId="4" xfId="0" applyFont="1" applyBorder="1" applyAlignment="1">
      <alignment horizontal="center" vertical="center" wrapText="1"/>
    </xf>
    <xf numFmtId="164" fontId="10" fillId="0" borderId="4" xfId="1" applyNumberFormat="1" applyFont="1" applyBorder="1" applyAlignment="1">
      <alignment horizontal="center" vertical="center"/>
    </xf>
    <xf numFmtId="0" fontId="1"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xf>
    <xf numFmtId="164" fontId="7" fillId="0" borderId="0" xfId="1" applyNumberFormat="1" applyFont="1" applyAlignment="1">
      <alignment horizontal="center"/>
    </xf>
    <xf numFmtId="0" fontId="5" fillId="0" borderId="4" xfId="0" applyFont="1" applyBorder="1" applyAlignment="1">
      <alignment horizontal="center" vertical="center"/>
    </xf>
    <xf numFmtId="0" fontId="5" fillId="0" borderId="0" xfId="0" applyFont="1" applyAlignment="1">
      <alignment horizontal="center"/>
    </xf>
    <xf numFmtId="0" fontId="9" fillId="0" borderId="0" xfId="0" applyFont="1" applyAlignment="1">
      <alignment horizontal="center"/>
    </xf>
    <xf numFmtId="0" fontId="9" fillId="0" borderId="0" xfId="0" applyFont="1" applyAlignment="1">
      <alignment horizontal="right"/>
    </xf>
    <xf numFmtId="164" fontId="11" fillId="0" borderId="0" xfId="1" applyNumberFormat="1" applyFont="1" applyAlignment="1">
      <alignment horizontal="center"/>
    </xf>
    <xf numFmtId="0" fontId="23" fillId="0" borderId="0" xfId="0" applyFont="1" applyAlignment="1">
      <alignment horizontal="center"/>
    </xf>
    <xf numFmtId="0" fontId="12" fillId="0" borderId="0" xfId="0" applyFont="1" applyAlignment="1">
      <alignment horizontal="right"/>
    </xf>
    <xf numFmtId="43" fontId="21" fillId="0" borderId="0" xfId="1" applyFont="1" applyAlignment="1">
      <alignment horizontal="center"/>
    </xf>
    <xf numFmtId="0" fontId="5" fillId="0" borderId="4" xfId="0" applyFont="1" applyBorder="1" applyAlignment="1">
      <alignment horizontal="center" vertical="center" wrapText="1"/>
    </xf>
    <xf numFmtId="164" fontId="5" fillId="0" borderId="4" xfId="1" applyNumberFormat="1" applyFont="1" applyBorder="1" applyAlignment="1">
      <alignment horizontal="center" vertical="center" wrapText="1"/>
    </xf>
    <xf numFmtId="0" fontId="22" fillId="0" borderId="0" xfId="0" applyFont="1" applyAlignment="1">
      <alignment horizontal="center"/>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7" xfId="0" applyFont="1" applyBorder="1" applyAlignment="1">
      <alignment horizontal="center" vertical="center"/>
    </xf>
    <xf numFmtId="164" fontId="10" fillId="0" borderId="4" xfId="1" applyNumberFormat="1" applyFont="1" applyBorder="1" applyAlignment="1">
      <alignment horizontal="center" vertical="center"/>
    </xf>
    <xf numFmtId="0" fontId="10" fillId="0" borderId="4" xfId="2" applyFont="1" applyBorder="1" applyAlignment="1">
      <alignment horizontal="center" vertical="center"/>
    </xf>
    <xf numFmtId="0" fontId="10" fillId="0" borderId="4" xfId="2" applyFont="1" applyBorder="1" applyAlignment="1">
      <alignment horizontal="center" vertical="center" wrapText="1"/>
    </xf>
    <xf numFmtId="164" fontId="10" fillId="0" borderId="4" xfId="1" applyNumberFormat="1" applyFont="1" applyBorder="1" applyAlignment="1">
      <alignment horizontal="center" vertical="center" wrapText="1"/>
    </xf>
    <xf numFmtId="3" fontId="10" fillId="0" borderId="4" xfId="2" applyNumberFormat="1" applyFont="1" applyBorder="1" applyAlignment="1">
      <alignment horizontal="center" vertical="center"/>
    </xf>
    <xf numFmtId="0" fontId="22" fillId="0" borderId="0" xfId="2" applyFont="1" applyAlignment="1">
      <alignment horizontal="center"/>
    </xf>
    <xf numFmtId="0" fontId="9" fillId="0" borderId="0" xfId="2" applyFont="1" applyAlignment="1">
      <alignment horizontal="center"/>
    </xf>
    <xf numFmtId="0" fontId="9" fillId="0" borderId="2" xfId="2" applyFont="1" applyBorder="1" applyAlignment="1">
      <alignment horizontal="center"/>
    </xf>
    <xf numFmtId="164" fontId="13" fillId="0" borderId="0" xfId="1" applyNumberFormat="1" applyFont="1" applyAlignment="1">
      <alignment horizontal="left"/>
    </xf>
    <xf numFmtId="0" fontId="29" fillId="0" borderId="0" xfId="0" applyFont="1"/>
    <xf numFmtId="0" fontId="29" fillId="0" borderId="0" xfId="0" applyFont="1" applyAlignment="1">
      <alignment horizontal="center"/>
    </xf>
    <xf numFmtId="0" fontId="30" fillId="0" borderId="0" xfId="0" applyFont="1" applyAlignment="1">
      <alignment horizontal="center"/>
    </xf>
    <xf numFmtId="0" fontId="31" fillId="0" borderId="0" xfId="0" applyFont="1" applyAlignment="1">
      <alignment horizontal="center"/>
    </xf>
    <xf numFmtId="0" fontId="31" fillId="0" borderId="2" xfId="0" applyFont="1" applyBorder="1" applyAlignment="1">
      <alignment horizontal="center"/>
    </xf>
    <xf numFmtId="0" fontId="5" fillId="0" borderId="4" xfId="0" applyFont="1" applyBorder="1" applyAlignment="1">
      <alignment vertical="center" wrapText="1"/>
    </xf>
    <xf numFmtId="164" fontId="5" fillId="0" borderId="4" xfId="1" applyNumberFormat="1" applyFont="1" applyBorder="1" applyAlignment="1">
      <alignment vertical="center"/>
    </xf>
    <xf numFmtId="43" fontId="2" fillId="0" borderId="4" xfId="1" applyFont="1" applyBorder="1" applyAlignment="1">
      <alignment vertical="center"/>
    </xf>
    <xf numFmtId="43" fontId="1" fillId="0" borderId="4" xfId="1" applyFont="1" applyBorder="1"/>
    <xf numFmtId="0" fontId="7" fillId="0" borderId="4" xfId="0" applyFont="1" applyBorder="1" applyAlignment="1">
      <alignment wrapText="1"/>
    </xf>
    <xf numFmtId="0" fontId="9" fillId="0" borderId="4" xfId="0" applyFont="1" applyBorder="1"/>
    <xf numFmtId="43" fontId="2" fillId="0" borderId="4" xfId="1" applyFont="1" applyBorder="1"/>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3" fillId="0" borderId="4" xfId="0" applyFont="1" applyBorder="1" applyAlignment="1">
      <alignment horizontal="center"/>
    </xf>
    <xf numFmtId="0" fontId="3" fillId="0" borderId="4" xfId="0" quotePrefix="1" applyFont="1" applyBorder="1" applyAlignment="1">
      <alignment horizontal="center"/>
    </xf>
    <xf numFmtId="0" fontId="2" fillId="0" borderId="4" xfId="0" applyFont="1" applyBorder="1" applyAlignment="1">
      <alignment horizontal="center" vertical="center"/>
    </xf>
    <xf numFmtId="3" fontId="10" fillId="0" borderId="4" xfId="2" applyNumberFormat="1" applyFont="1" applyBorder="1"/>
    <xf numFmtId="0" fontId="11" fillId="0" borderId="4" xfId="0" applyFont="1" applyBorder="1"/>
    <xf numFmtId="3" fontId="27" fillId="0" borderId="4" xfId="2" applyNumberFormat="1" applyFont="1" applyBorder="1"/>
    <xf numFmtId="0" fontId="12" fillId="0" borderId="4" xfId="0" applyFont="1" applyBorder="1" applyAlignment="1">
      <alignment horizontal="center"/>
    </xf>
    <xf numFmtId="0" fontId="12" fillId="0" borderId="4" xfId="0" quotePrefix="1" applyFont="1" applyBorder="1" applyAlignment="1">
      <alignment horizontal="center"/>
    </xf>
    <xf numFmtId="0" fontId="12" fillId="0" borderId="4" xfId="0" applyFont="1" applyBorder="1"/>
    <xf numFmtId="3" fontId="12" fillId="0" borderId="4" xfId="2" applyNumberFormat="1" applyFont="1" applyBorder="1"/>
    <xf numFmtId="43" fontId="12" fillId="0" borderId="4" xfId="1" applyFont="1" applyBorder="1"/>
    <xf numFmtId="0" fontId="11" fillId="0" borderId="4" xfId="0" applyFont="1" applyBorder="1" applyAlignment="1">
      <alignment wrapText="1"/>
    </xf>
    <xf numFmtId="0" fontId="10" fillId="2" borderId="4" xfId="0" applyFont="1" applyFill="1" applyBorder="1" applyAlignment="1">
      <alignment horizontal="center" vertical="center"/>
    </xf>
    <xf numFmtId="0" fontId="10" fillId="2" borderId="4" xfId="0" applyFont="1" applyFill="1" applyBorder="1" applyAlignment="1">
      <alignment horizontal="left" vertical="center"/>
    </xf>
    <xf numFmtId="0" fontId="10" fillId="2" borderId="4" xfId="0" applyFont="1" applyFill="1" applyBorder="1" applyAlignment="1">
      <alignment horizontal="left" vertical="center" wrapText="1"/>
    </xf>
    <xf numFmtId="0" fontId="23" fillId="0" borderId="0" xfId="0" applyFont="1" applyAlignment="1">
      <alignment vertical="center"/>
    </xf>
    <xf numFmtId="3" fontId="8" fillId="0" borderId="4" xfId="0" applyNumberFormat="1" applyFont="1" applyBorder="1"/>
    <xf numFmtId="43" fontId="8" fillId="0" borderId="4" xfId="1" applyFont="1" applyBorder="1"/>
    <xf numFmtId="0" fontId="7" fillId="0" borderId="4" xfId="0" applyFont="1" applyBorder="1" applyAlignment="1">
      <alignment horizontal="center" vertical="center"/>
    </xf>
    <xf numFmtId="0" fontId="7" fillId="0" borderId="4" xfId="0" applyFont="1" applyBorder="1" applyAlignment="1">
      <alignment horizontal="left" vertical="center" wrapText="1"/>
    </xf>
    <xf numFmtId="164" fontId="8" fillId="0" borderId="4" xfId="1" applyNumberFormat="1" applyFont="1" applyBorder="1"/>
    <xf numFmtId="164" fontId="10" fillId="0" borderId="4" xfId="1" applyNumberFormat="1" applyFont="1" applyBorder="1" applyAlignment="1">
      <alignment horizontal="right" vertical="center" wrapText="1"/>
    </xf>
    <xf numFmtId="164" fontId="10" fillId="0" borderId="4" xfId="1" applyNumberFormat="1" applyFont="1" applyBorder="1" applyAlignment="1">
      <alignment horizontal="left" vertical="center" wrapText="1"/>
    </xf>
    <xf numFmtId="164" fontId="5" fillId="0" borderId="4" xfId="1" applyNumberFormat="1" applyFont="1" applyBorder="1" applyAlignment="1">
      <alignment horizontal="right" wrapText="1"/>
    </xf>
    <xf numFmtId="164" fontId="5" fillId="0" borderId="4" xfId="1" applyNumberFormat="1" applyFont="1" applyBorder="1" applyAlignment="1">
      <alignment horizontal="left" wrapText="1"/>
    </xf>
    <xf numFmtId="164" fontId="5" fillId="0" borderId="4" xfId="1" applyNumberFormat="1" applyFont="1" applyBorder="1" applyAlignment="1">
      <alignment horizontal="right" vertical="center" wrapText="1"/>
    </xf>
    <xf numFmtId="164" fontId="5" fillId="0" borderId="4" xfId="1" applyNumberFormat="1" applyFont="1" applyBorder="1" applyAlignment="1">
      <alignment horizontal="left" vertical="center" wrapText="1"/>
    </xf>
    <xf numFmtId="164" fontId="8" fillId="0" borderId="4" xfId="1" applyNumberFormat="1" applyFont="1" applyBorder="1" applyAlignment="1">
      <alignment vertical="center"/>
    </xf>
    <xf numFmtId="43" fontId="5" fillId="0" borderId="4" xfId="1" applyFont="1" applyBorder="1" applyAlignment="1">
      <alignment vertical="center"/>
    </xf>
    <xf numFmtId="0" fontId="15" fillId="0" borderId="4" xfId="0" applyFont="1" applyBorder="1"/>
    <xf numFmtId="164" fontId="5" fillId="0" borderId="4" xfId="1" applyNumberFormat="1" applyFont="1" applyBorder="1" applyAlignment="1">
      <alignment horizontal="right"/>
    </xf>
    <xf numFmtId="0" fontId="11" fillId="0" borderId="4" xfId="0" applyFont="1" applyBorder="1" applyAlignment="1">
      <alignment horizontal="left" vertical="center" wrapText="1"/>
    </xf>
    <xf numFmtId="3" fontId="5" fillId="3" borderId="4" xfId="0" applyNumberFormat="1" applyFont="1" applyFill="1" applyBorder="1"/>
    <xf numFmtId="165" fontId="7" fillId="0" borderId="4" xfId="3" applyNumberFormat="1" applyFont="1" applyBorder="1" applyAlignment="1">
      <alignment vertical="center" wrapText="1"/>
    </xf>
    <xf numFmtId="3" fontId="7" fillId="0" borderId="4" xfId="0" applyNumberFormat="1" applyFont="1" applyBorder="1" applyAlignment="1">
      <alignment vertical="center"/>
    </xf>
    <xf numFmtId="0" fontId="7" fillId="0" borderId="4" xfId="0" quotePrefix="1" applyFont="1" applyBorder="1" applyAlignment="1">
      <alignment horizontal="center" vertical="center"/>
    </xf>
    <xf numFmtId="0" fontId="11" fillId="0" borderId="0" xfId="0" applyFont="1" applyAlignment="1">
      <alignment horizontal="right"/>
    </xf>
    <xf numFmtId="43" fontId="7" fillId="0" borderId="4" xfId="1" applyFont="1" applyBorder="1" applyAlignment="1">
      <alignment vertical="center"/>
    </xf>
    <xf numFmtId="0" fontId="7" fillId="0" borderId="4" xfId="0" applyFont="1" applyBorder="1" applyAlignment="1">
      <alignment vertical="center"/>
    </xf>
    <xf numFmtId="0" fontId="7" fillId="0" borderId="4" xfId="0" applyFont="1" applyBorder="1" applyAlignment="1">
      <alignment vertical="center" wrapText="1"/>
    </xf>
    <xf numFmtId="0" fontId="5" fillId="0" borderId="4" xfId="0" applyFont="1" applyBorder="1" applyAlignment="1">
      <alignment vertical="center"/>
    </xf>
    <xf numFmtId="3" fontId="5" fillId="0" borderId="4" xfId="0" applyNumberFormat="1" applyFont="1" applyBorder="1" applyAlignment="1">
      <alignment vertical="center"/>
    </xf>
    <xf numFmtId="0" fontId="9" fillId="0" borderId="4" xfId="0" applyFont="1" applyBorder="1" applyAlignment="1">
      <alignment vertical="center"/>
    </xf>
    <xf numFmtId="3" fontId="9" fillId="0" borderId="4" xfId="0" applyNumberFormat="1" applyFont="1" applyBorder="1" applyAlignment="1">
      <alignment vertical="center"/>
    </xf>
    <xf numFmtId="43" fontId="9" fillId="0" borderId="4" xfId="1" applyFont="1" applyBorder="1" applyAlignment="1">
      <alignment vertical="center"/>
    </xf>
    <xf numFmtId="0" fontId="9" fillId="0" borderId="4" xfId="0" applyFont="1" applyBorder="1" applyAlignment="1">
      <alignment horizontal="center" vertical="center"/>
    </xf>
    <xf numFmtId="0" fontId="14" fillId="0" borderId="0" xfId="0" applyFont="1" applyAlignment="1">
      <alignment horizontal="center" vertical="center"/>
    </xf>
    <xf numFmtId="0" fontId="13" fillId="0" borderId="4" xfId="0" applyFont="1" applyBorder="1" applyAlignment="1">
      <alignment horizontal="justify" vertical="center"/>
    </xf>
    <xf numFmtId="164" fontId="7" fillId="0" borderId="4" xfId="1" applyNumberFormat="1" applyFont="1" applyBorder="1" applyAlignment="1">
      <alignment vertical="center"/>
    </xf>
    <xf numFmtId="0" fontId="7" fillId="0" borderId="4" xfId="0" applyFont="1" applyBorder="1" applyAlignment="1">
      <alignment horizontal="justify" vertical="center"/>
    </xf>
    <xf numFmtId="0" fontId="9" fillId="0" borderId="4" xfId="0" applyFont="1" applyBorder="1" applyAlignment="1">
      <alignment horizontal="justify" vertical="center"/>
    </xf>
    <xf numFmtId="164" fontId="9" fillId="0" borderId="4" xfId="1" applyNumberFormat="1" applyFont="1" applyBorder="1" applyAlignment="1">
      <alignment vertical="center"/>
    </xf>
    <xf numFmtId="0" fontId="13" fillId="0" borderId="4" xfId="0" applyFont="1" applyBorder="1" applyAlignment="1">
      <alignment horizontal="left" vertical="center"/>
    </xf>
    <xf numFmtId="0" fontId="7" fillId="0" borderId="4" xfId="0" applyFont="1" applyBorder="1" applyAlignment="1">
      <alignment horizontal="left" vertical="center"/>
    </xf>
    <xf numFmtId="164" fontId="5" fillId="0" borderId="4" xfId="1" applyNumberFormat="1" applyFont="1" applyFill="1" applyBorder="1" applyAlignment="1">
      <alignment vertical="center"/>
    </xf>
    <xf numFmtId="43" fontId="5" fillId="0" borderId="4" xfId="1" applyFont="1" applyFill="1" applyBorder="1" applyAlignment="1">
      <alignment vertical="center"/>
    </xf>
    <xf numFmtId="49" fontId="7" fillId="0" borderId="4" xfId="0" applyNumberFormat="1" applyFont="1" applyBorder="1" applyAlignment="1">
      <alignment horizontal="left" vertical="center" wrapText="1"/>
    </xf>
    <xf numFmtId="0" fontId="32" fillId="0" borderId="6" xfId="0" applyFont="1" applyBorder="1" applyAlignment="1">
      <alignment horizontal="center" vertical="center"/>
    </xf>
    <xf numFmtId="0" fontId="32" fillId="0" borderId="6" xfId="0" quotePrefix="1" applyFont="1" applyBorder="1" applyAlignment="1">
      <alignment horizontal="center" vertical="center"/>
    </xf>
    <xf numFmtId="0" fontId="32" fillId="0" borderId="0" xfId="0" applyFont="1" applyAlignment="1">
      <alignment vertical="center"/>
    </xf>
    <xf numFmtId="0" fontId="10" fillId="0" borderId="4" xfId="0" applyFont="1" applyBorder="1" applyAlignment="1">
      <alignment horizontal="center" vertical="center"/>
    </xf>
    <xf numFmtId="3" fontId="10" fillId="0" borderId="4" xfId="0" applyNumberFormat="1" applyFont="1" applyBorder="1" applyAlignment="1">
      <alignment vertical="center"/>
    </xf>
    <xf numFmtId="43" fontId="10" fillId="0" borderId="4" xfId="1" applyFont="1" applyBorder="1" applyAlignment="1">
      <alignment vertical="center"/>
    </xf>
    <xf numFmtId="49" fontId="11" fillId="0" borderId="4" xfId="0" applyNumberFormat="1" applyFont="1" applyBorder="1" applyAlignment="1">
      <alignment horizontal="left" vertical="center" wrapText="1"/>
    </xf>
    <xf numFmtId="3" fontId="11" fillId="0" borderId="4" xfId="0" applyNumberFormat="1" applyFont="1" applyBorder="1" applyAlignment="1">
      <alignment vertical="center"/>
    </xf>
    <xf numFmtId="3" fontId="11" fillId="0" borderId="4" xfId="2" applyNumberFormat="1" applyFont="1" applyBorder="1" applyAlignment="1">
      <alignment vertical="center"/>
    </xf>
    <xf numFmtId="164" fontId="11" fillId="0" borderId="4" xfId="1" applyNumberFormat="1" applyFont="1" applyBorder="1" applyAlignment="1">
      <alignment vertical="center"/>
    </xf>
    <xf numFmtId="43" fontId="11" fillId="0" borderId="4" xfId="1" applyFont="1" applyBorder="1" applyAlignment="1">
      <alignment vertical="center"/>
    </xf>
    <xf numFmtId="164" fontId="13" fillId="0" borderId="0" xfId="1" applyNumberFormat="1" applyFont="1" applyAlignment="1">
      <alignment horizontal="center"/>
    </xf>
    <xf numFmtId="0" fontId="33" fillId="0" borderId="0" xfId="0" applyFont="1" applyAlignment="1">
      <alignment horizontal="centerContinuous"/>
    </xf>
    <xf numFmtId="0" fontId="13" fillId="0" borderId="0" xfId="0" applyFont="1" applyAlignment="1">
      <alignment horizontal="centerContinuous"/>
    </xf>
    <xf numFmtId="0" fontId="33" fillId="0" borderId="0" xfId="0" applyFont="1" applyAlignment="1">
      <alignment horizontal="center"/>
    </xf>
    <xf numFmtId="0" fontId="34" fillId="0" borderId="0" xfId="0" applyFont="1" applyAlignment="1">
      <alignment horizontal="center"/>
    </xf>
    <xf numFmtId="0" fontId="34" fillId="0" borderId="0" xfId="0" applyFont="1" applyAlignment="1">
      <alignment horizontal="left"/>
    </xf>
    <xf numFmtId="0" fontId="34" fillId="0" borderId="2" xfId="0" applyFont="1" applyBorder="1"/>
    <xf numFmtId="3" fontId="34" fillId="0" borderId="2" xfId="0" applyNumberFormat="1" applyFont="1" applyBorder="1"/>
    <xf numFmtId="164" fontId="12" fillId="0" borderId="4" xfId="1" applyNumberFormat="1" applyFont="1" applyBorder="1" applyAlignment="1">
      <alignment vertical="center"/>
    </xf>
    <xf numFmtId="0" fontId="12" fillId="0" borderId="4" xfId="2" applyFont="1" applyBorder="1" applyAlignment="1">
      <alignment vertical="center"/>
    </xf>
    <xf numFmtId="0" fontId="12" fillId="0" borderId="4" xfId="2" quotePrefix="1" applyFont="1" applyBorder="1" applyAlignment="1">
      <alignment vertical="center"/>
    </xf>
    <xf numFmtId="0" fontId="12" fillId="0" borderId="0" xfId="2" applyFont="1" applyAlignment="1"/>
    <xf numFmtId="164" fontId="10" fillId="0" borderId="4" xfId="1" applyNumberFormat="1" applyFont="1" applyBorder="1" applyAlignment="1">
      <alignment vertical="center"/>
    </xf>
    <xf numFmtId="164" fontId="10" fillId="0" borderId="4" xfId="1" quotePrefix="1" applyNumberFormat="1" applyFont="1" applyBorder="1" applyAlignment="1">
      <alignment horizontal="center" vertical="center"/>
    </xf>
    <xf numFmtId="0" fontId="11" fillId="0" borderId="4" xfId="0" applyFont="1" applyBorder="1" applyAlignment="1">
      <alignment horizontal="justify" vertical="center"/>
    </xf>
    <xf numFmtId="0" fontId="10" fillId="0" borderId="4" xfId="0" applyFont="1" applyBorder="1" applyAlignment="1">
      <alignment horizontal="justify" vertical="center"/>
    </xf>
    <xf numFmtId="43" fontId="10" fillId="0" borderId="4" xfId="1" applyFont="1" applyBorder="1" applyAlignment="1">
      <alignment vertical="center" wrapText="1"/>
    </xf>
    <xf numFmtId="0" fontId="10" fillId="0" borderId="4" xfId="0" quotePrefix="1" applyFont="1" applyBorder="1" applyAlignment="1">
      <alignment horizontal="center" vertical="center"/>
    </xf>
    <xf numFmtId="0" fontId="11" fillId="0" borderId="4" xfId="0" applyFont="1" applyBorder="1" applyAlignment="1">
      <alignment horizontal="center" vertical="center"/>
    </xf>
    <xf numFmtId="0" fontId="11" fillId="0" borderId="4" xfId="2" applyFont="1" applyBorder="1" applyAlignment="1">
      <alignment vertical="center"/>
    </xf>
  </cellXfs>
  <cellStyles count="6">
    <cellStyle name="Comma" xfId="1" builtinId="3"/>
    <cellStyle name="Normal" xfId="0" builtinId="0"/>
    <cellStyle name="Normal 2" xfId="2"/>
    <cellStyle name="Normal 3 4" xfId="4"/>
    <cellStyle name="Normal_Chi NSTW NSDP 2002 - PL" xfId="3"/>
    <cellStyle name="Normal_Sheet1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AM%202023\HOP%20HDND%20GIUA%20NAM%202023\QUYET%20TOAN%202022\TO%20TRINH\PHU%20LUC%20QT%20NSNN%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NAM%202024\HOP%20HDND%20GIUA%20NAM%202024\QUYET%20TOAN%202023\TO%20TRINH\PHU%20LUC%20QT%20NSNN%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48"/>
      <sheetName val="Bieu 49"/>
      <sheetName val="Bieu 50"/>
      <sheetName val="Bieu 51"/>
      <sheetName val="Bieu 52"/>
      <sheetName val="Bieu 53"/>
      <sheetName val="Bieu 54"/>
      <sheetName val="Bieu 55"/>
      <sheetName val="bieu 56"/>
      <sheetName val="Bieu 57"/>
      <sheetName val="Bieu 58"/>
      <sheetName val="Bieu 59"/>
      <sheetName val="Bieu 60"/>
      <sheetName val="Bieu 61"/>
    </sheetNames>
    <sheetDataSet>
      <sheetData sheetId="0"/>
      <sheetData sheetId="1">
        <row r="21">
          <cell r="C21">
            <v>87228</v>
          </cell>
        </row>
      </sheetData>
      <sheetData sheetId="2"/>
      <sheetData sheetId="3">
        <row r="12">
          <cell r="C12">
            <v>158516</v>
          </cell>
        </row>
        <row r="33">
          <cell r="C33">
            <v>560</v>
          </cell>
        </row>
      </sheetData>
      <sheetData sheetId="4"/>
      <sheetData sheetId="5"/>
      <sheetData sheetId="6"/>
      <sheetData sheetId="7"/>
      <sheetData sheetId="8"/>
      <sheetData sheetId="9">
        <row r="14">
          <cell r="C14">
            <v>184220.54399999999</v>
          </cell>
        </row>
      </sheetData>
      <sheetData sheetId="10">
        <row r="13">
          <cell r="P13">
            <v>16153.162856999999</v>
          </cell>
        </row>
      </sheetData>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48"/>
      <sheetName val="Bieu 49"/>
      <sheetName val="Bieu 50"/>
      <sheetName val="Bieu 51"/>
      <sheetName val="Bieu 52"/>
      <sheetName val="Bieu 53"/>
      <sheetName val="Bieu 54"/>
      <sheetName val="Bieu 55"/>
      <sheetName val="bieu 56"/>
      <sheetName val="Bieu 57"/>
      <sheetName val="Bieu 58"/>
      <sheetName val="Bieu 59"/>
      <sheetName val="Bieu 60"/>
      <sheetName val="Bieu 61"/>
    </sheetNames>
    <sheetDataSet>
      <sheetData sheetId="0"/>
      <sheetData sheetId="1">
        <row r="21">
          <cell r="C21">
            <v>74326.3</v>
          </cell>
        </row>
      </sheetData>
      <sheetData sheetId="2"/>
      <sheetData sheetId="3"/>
      <sheetData sheetId="4"/>
      <sheetData sheetId="5"/>
      <sheetData sheetId="6"/>
      <sheetData sheetId="7"/>
      <sheetData sheetId="8"/>
      <sheetData sheetId="9">
        <row r="14">
          <cell r="C14">
            <v>168506.301011</v>
          </cell>
          <cell r="G14">
            <v>143714.29257300001</v>
          </cell>
          <cell r="I14">
            <v>23850.619979999999</v>
          </cell>
        </row>
        <row r="17">
          <cell r="C17">
            <v>2044.3679999999999</v>
          </cell>
          <cell r="G17">
            <v>1970.6553979999999</v>
          </cell>
          <cell r="I17">
            <v>12.731225999999999</v>
          </cell>
        </row>
        <row r="18">
          <cell r="C18">
            <v>861.70100000000002</v>
          </cell>
          <cell r="G18">
            <v>845.61101199999996</v>
          </cell>
          <cell r="I18">
            <v>16.486923000000001</v>
          </cell>
        </row>
        <row r="19">
          <cell r="C19">
            <v>623.05799999999999</v>
          </cell>
          <cell r="G19">
            <v>606.96966799999996</v>
          </cell>
          <cell r="I19">
            <v>4.9469380000000003</v>
          </cell>
        </row>
        <row r="20">
          <cell r="C20">
            <v>3255.4580000000001</v>
          </cell>
          <cell r="G20">
            <v>3155.8403969999999</v>
          </cell>
          <cell r="I20">
            <v>24.561658000000001</v>
          </cell>
        </row>
        <row r="21">
          <cell r="C21">
            <v>5.3</v>
          </cell>
          <cell r="G21">
            <v>5.3</v>
          </cell>
        </row>
        <row r="22">
          <cell r="C22">
            <v>4824.9639999999999</v>
          </cell>
          <cell r="G22">
            <v>3523.1057479999999</v>
          </cell>
          <cell r="I22">
            <v>1.171732</v>
          </cell>
        </row>
        <row r="23">
          <cell r="C23">
            <v>3341.5369999999998</v>
          </cell>
          <cell r="G23">
            <v>3299.2834819999998</v>
          </cell>
          <cell r="I23">
            <v>40.753776000000002</v>
          </cell>
        </row>
        <row r="25">
          <cell r="C25">
            <v>9842.3160000000007</v>
          </cell>
          <cell r="G25">
            <v>9805.4876000000004</v>
          </cell>
          <cell r="I25">
            <v>1.1251119999999999</v>
          </cell>
        </row>
        <row r="26">
          <cell r="C26">
            <v>32.633000000000003</v>
          </cell>
          <cell r="G26">
            <v>32.6325</v>
          </cell>
        </row>
        <row r="27">
          <cell r="C27">
            <v>14.09</v>
          </cell>
          <cell r="G27">
            <v>14.09</v>
          </cell>
        </row>
        <row r="29">
          <cell r="C29">
            <v>5476.3339999999998</v>
          </cell>
          <cell r="G29">
            <v>5247.902</v>
          </cell>
        </row>
        <row r="30">
          <cell r="G30">
            <v>1999.364</v>
          </cell>
          <cell r="I30">
            <v>0.63600000000000001</v>
          </cell>
        </row>
        <row r="31">
          <cell r="C31">
            <v>851.07600000000002</v>
          </cell>
          <cell r="G31">
            <v>433.09399999999999</v>
          </cell>
        </row>
        <row r="32">
          <cell r="C32">
            <v>8389.366</v>
          </cell>
          <cell r="G32">
            <v>8283.3009999999995</v>
          </cell>
        </row>
        <row r="33">
          <cell r="C33">
            <v>22657.353999999999</v>
          </cell>
          <cell r="G33">
            <v>19971.776753999999</v>
          </cell>
          <cell r="I33">
            <v>0</v>
          </cell>
        </row>
        <row r="34">
          <cell r="C34">
            <v>2120</v>
          </cell>
          <cell r="G34">
            <v>1767.9550589999999</v>
          </cell>
          <cell r="I34">
            <v>31.66</v>
          </cell>
        </row>
        <row r="35">
          <cell r="C35">
            <v>1744.3050929999999</v>
          </cell>
          <cell r="G35">
            <v>1739.9611789999999</v>
          </cell>
          <cell r="I35">
            <v>4.3439140000000007</v>
          </cell>
        </row>
        <row r="36">
          <cell r="C36">
            <v>16.593</v>
          </cell>
          <cell r="G36">
            <v>16.59</v>
          </cell>
        </row>
        <row r="38">
          <cell r="C38">
            <v>96.634</v>
          </cell>
          <cell r="G38">
            <v>92.804400000000001</v>
          </cell>
        </row>
        <row r="40">
          <cell r="C40">
            <v>1340.258</v>
          </cell>
          <cell r="G40">
            <v>1203.258</v>
          </cell>
        </row>
        <row r="41">
          <cell r="C41">
            <v>265.17700000000002</v>
          </cell>
          <cell r="G41">
            <v>0</v>
          </cell>
        </row>
        <row r="42">
          <cell r="C42">
            <v>1071.5630000000001</v>
          </cell>
          <cell r="G42">
            <v>1055.994884</v>
          </cell>
          <cell r="I42">
            <v>14.088185000000001</v>
          </cell>
        </row>
        <row r="44">
          <cell r="C44">
            <v>37676</v>
          </cell>
          <cell r="G44">
            <v>37662.862999999998</v>
          </cell>
        </row>
        <row r="45">
          <cell r="G45">
            <v>323.80500000000001</v>
          </cell>
          <cell r="I45">
            <v>275.18</v>
          </cell>
        </row>
        <row r="46">
          <cell r="G46">
            <v>453.73</v>
          </cell>
          <cell r="I46">
            <v>46.27</v>
          </cell>
        </row>
        <row r="47">
          <cell r="C47">
            <v>3872.95</v>
          </cell>
          <cell r="G47">
            <v>3718.3310000000001</v>
          </cell>
        </row>
        <row r="48">
          <cell r="C48">
            <v>120</v>
          </cell>
          <cell r="G48">
            <v>119.69199999999999</v>
          </cell>
        </row>
        <row r="49">
          <cell r="C49">
            <v>8.1</v>
          </cell>
          <cell r="G49">
            <v>8.1</v>
          </cell>
        </row>
        <row r="50">
          <cell r="C50">
            <v>1839.6420000000003</v>
          </cell>
          <cell r="G50">
            <v>1242.7821260000001</v>
          </cell>
          <cell r="I50">
            <v>572.95152800000005</v>
          </cell>
        </row>
        <row r="52">
          <cell r="C52">
            <v>872.06799999999998</v>
          </cell>
          <cell r="G52">
            <v>834.96799999999996</v>
          </cell>
        </row>
        <row r="53">
          <cell r="C53">
            <v>2.5</v>
          </cell>
          <cell r="G53">
            <v>2.5</v>
          </cell>
        </row>
        <row r="54">
          <cell r="C54">
            <v>3218.998</v>
          </cell>
          <cell r="G54">
            <v>3067.1100610000003</v>
          </cell>
          <cell r="I54">
            <v>151.312939</v>
          </cell>
        </row>
        <row r="56">
          <cell r="C56">
            <v>1113.6890000000001</v>
          </cell>
          <cell r="G56">
            <v>1105.148917</v>
          </cell>
          <cell r="I56">
            <v>8.0401290000000003</v>
          </cell>
        </row>
        <row r="57">
          <cell r="C57">
            <v>13.85</v>
          </cell>
          <cell r="G57">
            <v>13.85</v>
          </cell>
        </row>
        <row r="59">
          <cell r="C59">
            <v>1025.2739999999999</v>
          </cell>
          <cell r="G59">
            <v>1021.9925489999999</v>
          </cell>
          <cell r="I59">
            <v>3.281291</v>
          </cell>
        </row>
        <row r="60">
          <cell r="C60">
            <v>0</v>
          </cell>
        </row>
        <row r="62">
          <cell r="C62">
            <v>2399.721</v>
          </cell>
          <cell r="G62">
            <v>2396.8878910000003</v>
          </cell>
          <cell r="I62">
            <v>2.8322889999999998</v>
          </cell>
        </row>
        <row r="63">
          <cell r="C63">
            <v>9</v>
          </cell>
          <cell r="G63">
            <v>9</v>
          </cell>
        </row>
        <row r="64">
          <cell r="C64">
            <v>96</v>
          </cell>
          <cell r="G64">
            <v>96</v>
          </cell>
        </row>
        <row r="66">
          <cell r="C66">
            <v>2141.384</v>
          </cell>
          <cell r="G66">
            <v>1654.7329710000001</v>
          </cell>
          <cell r="I66">
            <v>427.08056399999998</v>
          </cell>
        </row>
        <row r="67">
          <cell r="C67">
            <v>5691.7</v>
          </cell>
          <cell r="G67">
            <v>5486.1540000000005</v>
          </cell>
        </row>
        <row r="68">
          <cell r="C68">
            <v>78754.039999999994</v>
          </cell>
          <cell r="G68">
            <v>77993.187000000005</v>
          </cell>
        </row>
        <row r="69">
          <cell r="C69">
            <v>250</v>
          </cell>
          <cell r="G69">
            <v>232.19800000000001</v>
          </cell>
        </row>
        <row r="70">
          <cell r="C70">
            <v>7090.1720000000005</v>
          </cell>
          <cell r="G70">
            <v>7090.1720999999998</v>
          </cell>
        </row>
        <row r="71">
          <cell r="C71">
            <v>10.3</v>
          </cell>
          <cell r="G71">
            <v>10.3</v>
          </cell>
        </row>
        <row r="72">
          <cell r="C72">
            <v>70</v>
          </cell>
          <cell r="G72">
            <v>70</v>
          </cell>
        </row>
        <row r="73">
          <cell r="C73">
            <v>204.62099999999998</v>
          </cell>
          <cell r="G73">
            <v>198.07599999999999</v>
          </cell>
        </row>
        <row r="74">
          <cell r="G74">
            <v>200.40943999999999</v>
          </cell>
          <cell r="I74">
            <v>100.59056</v>
          </cell>
        </row>
        <row r="75">
          <cell r="G75">
            <v>1286.4276500000001</v>
          </cell>
          <cell r="I75">
            <v>2584.5723499999999</v>
          </cell>
        </row>
        <row r="76">
          <cell r="G76">
            <v>472.48</v>
          </cell>
          <cell r="I76">
            <v>379.88</v>
          </cell>
        </row>
        <row r="78">
          <cell r="C78">
            <v>1878.3110000000006</v>
          </cell>
          <cell r="G78">
            <v>1853.7014920000001</v>
          </cell>
          <cell r="I78">
            <v>0.24513399999999999</v>
          </cell>
        </row>
        <row r="79">
          <cell r="C79">
            <v>14.093</v>
          </cell>
          <cell r="G79">
            <v>14.09</v>
          </cell>
        </row>
        <row r="80">
          <cell r="C80">
            <v>4187.058</v>
          </cell>
          <cell r="G80">
            <v>3971.3970009999998</v>
          </cell>
        </row>
        <row r="82">
          <cell r="C82">
            <v>3373.0379999999996</v>
          </cell>
          <cell r="G82">
            <v>3309.131363</v>
          </cell>
          <cell r="I82">
            <v>7.1799030000000004</v>
          </cell>
        </row>
        <row r="83">
          <cell r="C83">
            <v>1608.7449999999999</v>
          </cell>
          <cell r="G83">
            <v>1596.6410080000001</v>
          </cell>
        </row>
        <row r="84">
          <cell r="C84">
            <v>4846.6589999999997</v>
          </cell>
          <cell r="G84">
            <v>4784.4554959999996</v>
          </cell>
        </row>
        <row r="85">
          <cell r="C85">
            <v>6554.4669999999996</v>
          </cell>
          <cell r="G85">
            <v>6403.0295800000004</v>
          </cell>
        </row>
        <row r="86">
          <cell r="C86">
            <v>3433.2709999999997</v>
          </cell>
          <cell r="G86">
            <v>2979.9170760000002</v>
          </cell>
        </row>
        <row r="87">
          <cell r="C87">
            <v>2.8</v>
          </cell>
          <cell r="G87">
            <v>2.8</v>
          </cell>
        </row>
        <row r="88">
          <cell r="G88">
            <v>357.40519999999998</v>
          </cell>
          <cell r="I88">
            <v>242.59479999999999</v>
          </cell>
        </row>
        <row r="89">
          <cell r="C89">
            <v>1194.712</v>
          </cell>
          <cell r="G89">
            <v>1194.712</v>
          </cell>
        </row>
        <row r="90">
          <cell r="C90">
            <v>11.962999999999999</v>
          </cell>
          <cell r="G90">
            <v>11.9625</v>
          </cell>
        </row>
        <row r="91">
          <cell r="C91">
            <v>5</v>
          </cell>
          <cell r="G91">
            <v>5</v>
          </cell>
        </row>
        <row r="92">
          <cell r="C92">
            <v>1343.5329999999999</v>
          </cell>
          <cell r="G92">
            <v>1340.5247419999998</v>
          </cell>
        </row>
        <row r="93">
          <cell r="C93">
            <v>7.8</v>
          </cell>
          <cell r="G93">
            <v>7.8</v>
          </cell>
        </row>
        <row r="94">
          <cell r="C94">
            <v>1204.76</v>
          </cell>
          <cell r="G94">
            <v>1199.7942410000001</v>
          </cell>
        </row>
        <row r="95">
          <cell r="C95">
            <v>1696.0630000000001</v>
          </cell>
          <cell r="G95">
            <v>1695.7993199999999</v>
          </cell>
          <cell r="I95">
            <v>0.26333600000000001</v>
          </cell>
        </row>
        <row r="96">
          <cell r="C96">
            <v>496.24900000000002</v>
          </cell>
          <cell r="G96">
            <v>492.810427</v>
          </cell>
          <cell r="I96">
            <v>3.2491319999999999</v>
          </cell>
        </row>
        <row r="97">
          <cell r="C97">
            <v>252.05600000000001</v>
          </cell>
          <cell r="G97">
            <v>252.05373</v>
          </cell>
          <cell r="I97">
            <v>3.6900000000000002E-4</v>
          </cell>
        </row>
        <row r="98">
          <cell r="C98">
            <v>63.432280000000006</v>
          </cell>
          <cell r="G98">
            <v>63.432279999999999</v>
          </cell>
        </row>
        <row r="99">
          <cell r="C99">
            <v>104.41200000000001</v>
          </cell>
          <cell r="G99">
            <v>89.411799999999999</v>
          </cell>
        </row>
        <row r="100">
          <cell r="C100">
            <v>770.93899999999996</v>
          </cell>
          <cell r="G100">
            <v>717.25851299999999</v>
          </cell>
          <cell r="I100">
            <v>2.5999999999999998E-4</v>
          </cell>
        </row>
        <row r="101">
          <cell r="C101">
            <v>51.9</v>
          </cell>
          <cell r="G101">
            <v>51.9</v>
          </cell>
        </row>
        <row r="102">
          <cell r="C102">
            <v>77.700999999999993</v>
          </cell>
          <cell r="G102">
            <v>52.700878000000003</v>
          </cell>
        </row>
        <row r="103">
          <cell r="C103">
            <v>1.9</v>
          </cell>
          <cell r="G103">
            <v>1.9</v>
          </cell>
        </row>
        <row r="104">
          <cell r="C104">
            <v>124.636</v>
          </cell>
          <cell r="G104">
            <v>124.162756</v>
          </cell>
        </row>
        <row r="105">
          <cell r="C105">
            <v>39.9</v>
          </cell>
          <cell r="G105">
            <v>39.9</v>
          </cell>
        </row>
        <row r="107">
          <cell r="C107">
            <v>15121.336600000001</v>
          </cell>
          <cell r="G107">
            <v>15121.336599999999</v>
          </cell>
        </row>
        <row r="108">
          <cell r="C108">
            <v>11.9625</v>
          </cell>
          <cell r="G108">
            <v>11.9625</v>
          </cell>
        </row>
        <row r="109">
          <cell r="C109">
            <v>24</v>
          </cell>
          <cell r="G109">
            <v>24</v>
          </cell>
        </row>
        <row r="110">
          <cell r="C110">
            <v>1506.43</v>
          </cell>
          <cell r="G110">
            <v>1506.42</v>
          </cell>
        </row>
        <row r="111">
          <cell r="C111">
            <v>29.1</v>
          </cell>
          <cell r="G111">
            <v>29.1</v>
          </cell>
        </row>
        <row r="112">
          <cell r="C112">
            <v>16187.77</v>
          </cell>
          <cell r="G112">
            <v>16180.137878</v>
          </cell>
        </row>
        <row r="114">
          <cell r="C114">
            <v>60015.065000000002</v>
          </cell>
          <cell r="G114">
            <v>55484.817093999998</v>
          </cell>
          <cell r="I114">
            <v>3638.376139</v>
          </cell>
        </row>
        <row r="115">
          <cell r="C115">
            <v>167379.54300000001</v>
          </cell>
          <cell r="G115">
            <v>156807.19091199999</v>
          </cell>
          <cell r="I115">
            <v>9887.9034640000009</v>
          </cell>
        </row>
        <row r="116">
          <cell r="C116">
            <v>72316.088000000003</v>
          </cell>
          <cell r="G116">
            <v>71104.400890000004</v>
          </cell>
          <cell r="I116">
            <v>747.789131</v>
          </cell>
        </row>
        <row r="117">
          <cell r="C117">
            <v>2.1070000000000846</v>
          </cell>
        </row>
        <row r="118">
          <cell r="C118">
            <v>1845.924</v>
          </cell>
          <cell r="G118">
            <v>1845.92355</v>
          </cell>
        </row>
        <row r="121">
          <cell r="G121">
            <v>1246.7840000000001</v>
          </cell>
          <cell r="I121">
            <v>3.2160000000000002</v>
          </cell>
        </row>
        <row r="122">
          <cell r="C122">
            <v>1890.9</v>
          </cell>
          <cell r="G122">
            <v>1691.501</v>
          </cell>
        </row>
        <row r="123">
          <cell r="C123">
            <v>11780.932000000001</v>
          </cell>
          <cell r="G123">
            <v>7944.7826260000002</v>
          </cell>
        </row>
      </sheetData>
      <sheetData sheetId="10">
        <row r="13">
          <cell r="P13">
            <v>875.58529399999998</v>
          </cell>
        </row>
        <row r="16">
          <cell r="E16">
            <v>6375</v>
          </cell>
          <cell r="J16">
            <v>6047.3606420000006</v>
          </cell>
          <cell r="O16">
            <v>499.28</v>
          </cell>
          <cell r="Q16">
            <v>761.41416200000003</v>
          </cell>
        </row>
        <row r="17">
          <cell r="E17">
            <v>5770</v>
          </cell>
          <cell r="J17">
            <v>6005.132192</v>
          </cell>
          <cell r="O17">
            <v>305.19900000000001</v>
          </cell>
          <cell r="Q17">
            <v>210.444152</v>
          </cell>
        </row>
        <row r="18">
          <cell r="E18">
            <v>5259</v>
          </cell>
          <cell r="J18">
            <v>5203.2196619999995</v>
          </cell>
          <cell r="O18">
            <v>405.92399999999998</v>
          </cell>
          <cell r="Q18">
            <v>672.95994700000006</v>
          </cell>
        </row>
        <row r="19">
          <cell r="E19">
            <v>8932</v>
          </cell>
          <cell r="J19">
            <v>9427.7723769999993</v>
          </cell>
          <cell r="O19">
            <v>1199.932</v>
          </cell>
          <cell r="Q19">
            <v>730.81633799999997</v>
          </cell>
        </row>
        <row r="20">
          <cell r="E20">
            <v>8854</v>
          </cell>
          <cell r="J20">
            <v>9026.0891730000003</v>
          </cell>
          <cell r="O20">
            <v>612.4</v>
          </cell>
          <cell r="Q20">
            <v>1026.836497</v>
          </cell>
        </row>
        <row r="21">
          <cell r="E21">
            <v>7795</v>
          </cell>
          <cell r="J21">
            <v>7751.8137619999998</v>
          </cell>
          <cell r="O21">
            <v>714.45600000000002</v>
          </cell>
          <cell r="Q21">
            <v>614.46435399999996</v>
          </cell>
        </row>
        <row r="22">
          <cell r="E22">
            <v>7860</v>
          </cell>
          <cell r="J22">
            <v>6950.6542520000012</v>
          </cell>
          <cell r="O22">
            <v>695.88800000000003</v>
          </cell>
          <cell r="Q22">
            <v>929.62468799999999</v>
          </cell>
        </row>
        <row r="23">
          <cell r="E23">
            <v>7862</v>
          </cell>
          <cell r="J23">
            <v>6677.3386190000001</v>
          </cell>
          <cell r="O23">
            <v>2186.239</v>
          </cell>
          <cell r="Q23">
            <v>356.16618499999998</v>
          </cell>
        </row>
        <row r="24">
          <cell r="E24">
            <v>9734</v>
          </cell>
          <cell r="J24">
            <v>9358.5806370000009</v>
          </cell>
          <cell r="O24">
            <v>1010.92</v>
          </cell>
          <cell r="Q24">
            <v>790.18288199999995</v>
          </cell>
        </row>
        <row r="25">
          <cell r="E25">
            <v>8119</v>
          </cell>
          <cell r="J25">
            <v>8105.1928169999992</v>
          </cell>
          <cell r="O25">
            <v>1341.519</v>
          </cell>
          <cell r="Q25">
            <v>605.26457300000004</v>
          </cell>
        </row>
        <row r="26">
          <cell r="E26">
            <v>6977</v>
          </cell>
          <cell r="J26">
            <v>7866.3479710000001</v>
          </cell>
          <cell r="O26">
            <v>395.27</v>
          </cell>
          <cell r="Q26">
            <v>794.99251800000002</v>
          </cell>
        </row>
        <row r="27">
          <cell r="E27">
            <v>7163</v>
          </cell>
          <cell r="J27">
            <v>8001.9731600000005</v>
          </cell>
          <cell r="O27">
            <v>608.94000000000005</v>
          </cell>
          <cell r="Q27">
            <v>394.090373</v>
          </cell>
        </row>
        <row r="28">
          <cell r="E28">
            <v>8531</v>
          </cell>
          <cell r="J28">
            <v>11273.834721000001</v>
          </cell>
          <cell r="O28">
            <v>18</v>
          </cell>
          <cell r="Q28">
            <v>828.48664599999995</v>
          </cell>
        </row>
        <row r="29">
          <cell r="E29">
            <v>10703</v>
          </cell>
          <cell r="J29">
            <v>9614.196077999999</v>
          </cell>
          <cell r="O29">
            <v>1939.5140000000001</v>
          </cell>
          <cell r="Q29">
            <v>847.89075700000001</v>
          </cell>
        </row>
        <row r="30">
          <cell r="E30">
            <v>6853</v>
          </cell>
          <cell r="J30">
            <v>6506.5491290000009</v>
          </cell>
          <cell r="O30">
            <v>1050.056</v>
          </cell>
          <cell r="Q30">
            <v>635.41515900000002</v>
          </cell>
        </row>
      </sheetData>
      <sheetData sheetId="11"/>
      <sheetData sheetId="12"/>
      <sheetData sheetId="13">
        <row r="16">
          <cell r="G16">
            <v>23105.648143999995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tabSelected="1" zoomScale="140" zoomScaleNormal="140" workbookViewId="0">
      <selection activeCell="B12" sqref="B12"/>
    </sheetView>
  </sheetViews>
  <sheetFormatPr defaultColWidth="9.140625" defaultRowHeight="18.75"/>
  <cols>
    <col min="1" max="1" width="6" style="1" customWidth="1"/>
    <col min="2" max="2" width="58.7109375" style="1" customWidth="1"/>
    <col min="3" max="3" width="15" style="1" customWidth="1"/>
    <col min="4" max="4" width="15.140625" style="1" customWidth="1"/>
    <col min="5" max="5" width="15" style="1" customWidth="1"/>
    <col min="6" max="6" width="9.140625" style="1"/>
    <col min="7" max="7" width="10.140625" style="1" bestFit="1" customWidth="1"/>
    <col min="8" max="16384" width="9.140625" style="1"/>
  </cols>
  <sheetData>
    <row r="1" spans="1:5" s="125" customFormat="1" ht="16.5">
      <c r="A1" s="124"/>
      <c r="B1" s="124"/>
      <c r="D1" s="126" t="s">
        <v>25</v>
      </c>
      <c r="E1" s="126"/>
    </row>
    <row r="2" spans="1:5" s="125" customFormat="1" ht="16.5">
      <c r="A2" s="127" t="s">
        <v>384</v>
      </c>
      <c r="B2" s="127"/>
      <c r="C2" s="127"/>
      <c r="D2" s="127"/>
      <c r="E2" s="127"/>
    </row>
    <row r="3" spans="1:5" s="125" customFormat="1" ht="16.5">
      <c r="A3" s="128" t="s">
        <v>442</v>
      </c>
      <c r="B3" s="128"/>
      <c r="C3" s="128"/>
      <c r="D3" s="128"/>
      <c r="E3" s="128"/>
    </row>
    <row r="4" spans="1:5" s="125" customFormat="1" ht="16.5">
      <c r="D4" s="129" t="s">
        <v>26</v>
      </c>
      <c r="E4" s="129"/>
    </row>
    <row r="5" spans="1:5" s="2" customFormat="1" ht="37.5">
      <c r="A5" s="137" t="s">
        <v>0</v>
      </c>
      <c r="B5" s="137" t="s">
        <v>4</v>
      </c>
      <c r="C5" s="137" t="s">
        <v>1</v>
      </c>
      <c r="D5" s="137" t="s">
        <v>2</v>
      </c>
      <c r="E5" s="138" t="s">
        <v>443</v>
      </c>
    </row>
    <row r="6" spans="1:5" s="86" customFormat="1">
      <c r="A6" s="139" t="s">
        <v>5</v>
      </c>
      <c r="B6" s="139" t="s">
        <v>6</v>
      </c>
      <c r="C6" s="140" t="s">
        <v>7</v>
      </c>
      <c r="D6" s="140" t="s">
        <v>8</v>
      </c>
      <c r="E6" s="140" t="s">
        <v>10</v>
      </c>
    </row>
    <row r="7" spans="1:5" s="3" customFormat="1">
      <c r="A7" s="87" t="s">
        <v>5</v>
      </c>
      <c r="B7" s="130" t="s">
        <v>274</v>
      </c>
      <c r="C7" s="131">
        <f>C8+C12+C15+C16+C17+C18</f>
        <v>950995</v>
      </c>
      <c r="D7" s="131">
        <f>D8+D12+D15+D16+D17+D18</f>
        <v>1115277</v>
      </c>
      <c r="E7" s="132">
        <f>D7/C7*100</f>
        <v>117.27474907859663</v>
      </c>
    </row>
    <row r="8" spans="1:5" s="3" customFormat="1">
      <c r="A8" s="87">
        <v>1</v>
      </c>
      <c r="B8" s="130" t="s">
        <v>11</v>
      </c>
      <c r="C8" s="131">
        <f>SUM(C9:C10)</f>
        <v>111550</v>
      </c>
      <c r="D8" s="131">
        <f>SUM(D9:D10)</f>
        <v>127206</v>
      </c>
      <c r="E8" s="132">
        <f t="shared" ref="E8:E26" si="0">D8/C8*100</f>
        <v>114.03496190049304</v>
      </c>
    </row>
    <row r="9" spans="1:5">
      <c r="A9" s="48" t="s">
        <v>12</v>
      </c>
      <c r="B9" s="49" t="s">
        <v>13</v>
      </c>
      <c r="C9" s="70">
        <v>111550</v>
      </c>
      <c r="D9" s="70">
        <v>127206</v>
      </c>
      <c r="E9" s="133">
        <f t="shared" si="0"/>
        <v>114.03496190049304</v>
      </c>
    </row>
    <row r="10" spans="1:5">
      <c r="A10" s="48" t="s">
        <v>12</v>
      </c>
      <c r="B10" s="134" t="s">
        <v>275</v>
      </c>
      <c r="C10" s="70">
        <f>SUM(C11:C11)</f>
        <v>0</v>
      </c>
      <c r="D10" s="70">
        <f>SUM(D11:D11)</f>
        <v>0</v>
      </c>
      <c r="E10" s="133"/>
    </row>
    <row r="11" spans="1:5">
      <c r="A11" s="82"/>
      <c r="B11" s="135" t="s">
        <v>51</v>
      </c>
      <c r="C11" s="80"/>
      <c r="D11" s="80"/>
      <c r="E11" s="133"/>
    </row>
    <row r="12" spans="1:5" s="3" customFormat="1">
      <c r="A12" s="87">
        <v>2</v>
      </c>
      <c r="B12" s="130" t="s">
        <v>276</v>
      </c>
      <c r="C12" s="131">
        <f>SUM(C13:C14)</f>
        <v>612964</v>
      </c>
      <c r="D12" s="131">
        <f>SUM(D13:D14)</f>
        <v>754646</v>
      </c>
      <c r="E12" s="132">
        <f t="shared" si="0"/>
        <v>123.11424488224432</v>
      </c>
    </row>
    <row r="13" spans="1:5">
      <c r="A13" s="48" t="s">
        <v>12</v>
      </c>
      <c r="B13" s="49" t="s">
        <v>52</v>
      </c>
      <c r="C13" s="70">
        <v>532198</v>
      </c>
      <c r="D13" s="70">
        <v>586962</v>
      </c>
      <c r="E13" s="133">
        <f t="shared" si="0"/>
        <v>110.29015516781348</v>
      </c>
    </row>
    <row r="14" spans="1:5">
      <c r="A14" s="48" t="s">
        <v>12</v>
      </c>
      <c r="B14" s="49" t="s">
        <v>14</v>
      </c>
      <c r="C14" s="70">
        <v>80766</v>
      </c>
      <c r="D14" s="70">
        <v>167684</v>
      </c>
      <c r="E14" s="133">
        <f t="shared" si="0"/>
        <v>207.61706658742537</v>
      </c>
    </row>
    <row r="15" spans="1:5">
      <c r="A15" s="46">
        <v>3</v>
      </c>
      <c r="B15" s="47" t="s">
        <v>53</v>
      </c>
      <c r="C15" s="69">
        <v>4710</v>
      </c>
      <c r="D15" s="69">
        <v>4710</v>
      </c>
      <c r="E15" s="136">
        <f t="shared" si="0"/>
        <v>100</v>
      </c>
    </row>
    <row r="16" spans="1:5">
      <c r="A16" s="46">
        <v>4</v>
      </c>
      <c r="B16" s="52" t="s">
        <v>54</v>
      </c>
      <c r="C16" s="69">
        <v>221771</v>
      </c>
      <c r="D16" s="69">
        <v>221771</v>
      </c>
      <c r="E16" s="136">
        <f t="shared" si="0"/>
        <v>100</v>
      </c>
    </row>
    <row r="17" spans="1:7">
      <c r="A17" s="46">
        <v>5</v>
      </c>
      <c r="B17" s="52" t="s">
        <v>277</v>
      </c>
      <c r="C17" s="69"/>
      <c r="D17" s="69">
        <v>6657</v>
      </c>
      <c r="E17" s="133"/>
    </row>
    <row r="18" spans="1:7">
      <c r="A18" s="46">
        <v>6</v>
      </c>
      <c r="B18" s="52" t="s">
        <v>281</v>
      </c>
      <c r="C18" s="69"/>
      <c r="D18" s="69">
        <v>287</v>
      </c>
      <c r="E18" s="133"/>
    </row>
    <row r="19" spans="1:7">
      <c r="A19" s="46" t="s">
        <v>6</v>
      </c>
      <c r="B19" s="52" t="s">
        <v>267</v>
      </c>
      <c r="C19" s="69">
        <f>C20+C30+C31+C32+C27+C33</f>
        <v>950994.70000000019</v>
      </c>
      <c r="D19" s="69">
        <f>D20+D30+D31+D32+D27+D33</f>
        <v>1109476</v>
      </c>
      <c r="E19" s="136">
        <f t="shared" si="0"/>
        <v>116.66479318969914</v>
      </c>
      <c r="G19" s="5"/>
    </row>
    <row r="20" spans="1:7">
      <c r="A20" s="46" t="s">
        <v>16</v>
      </c>
      <c r="B20" s="47" t="s">
        <v>17</v>
      </c>
      <c r="C20" s="69">
        <f>SUM(C21:C26)</f>
        <v>950994.70000000019</v>
      </c>
      <c r="D20" s="69">
        <f>SUM(D21:D26)</f>
        <v>847967</v>
      </c>
      <c r="E20" s="136">
        <f t="shared" si="0"/>
        <v>89.166322378032163</v>
      </c>
    </row>
    <row r="21" spans="1:7">
      <c r="A21" s="51" t="s">
        <v>7</v>
      </c>
      <c r="B21" s="49" t="s">
        <v>19</v>
      </c>
      <c r="C21" s="70">
        <v>129409.3</v>
      </c>
      <c r="D21" s="70">
        <v>143714</v>
      </c>
      <c r="E21" s="133">
        <f t="shared" si="0"/>
        <v>111.05384234363372</v>
      </c>
    </row>
    <row r="22" spans="1:7">
      <c r="A22" s="51" t="s">
        <v>8</v>
      </c>
      <c r="B22" s="49" t="s">
        <v>18</v>
      </c>
      <c r="C22" s="70">
        <v>749898.3</v>
      </c>
      <c r="D22" s="70">
        <v>643159</v>
      </c>
      <c r="E22" s="133">
        <f t="shared" si="0"/>
        <v>85.766163225066649</v>
      </c>
    </row>
    <row r="23" spans="1:7">
      <c r="A23" s="51" t="s">
        <v>9</v>
      </c>
      <c r="B23" s="49" t="s">
        <v>327</v>
      </c>
      <c r="C23" s="70">
        <v>50705.4</v>
      </c>
      <c r="D23" s="70">
        <v>47952</v>
      </c>
      <c r="E23" s="133"/>
    </row>
    <row r="24" spans="1:7">
      <c r="A24" s="51" t="s">
        <v>15</v>
      </c>
      <c r="B24" s="49" t="s">
        <v>328</v>
      </c>
      <c r="C24" s="70">
        <v>3800</v>
      </c>
      <c r="D24" s="70">
        <v>3971</v>
      </c>
      <c r="E24" s="133">
        <f t="shared" si="0"/>
        <v>104.5</v>
      </c>
    </row>
    <row r="25" spans="1:7">
      <c r="A25" s="51" t="s">
        <v>56</v>
      </c>
      <c r="B25" s="49" t="s">
        <v>57</v>
      </c>
      <c r="C25" s="70">
        <v>10416.4</v>
      </c>
      <c r="D25" s="70">
        <v>9171</v>
      </c>
      <c r="E25" s="133">
        <f t="shared" si="0"/>
        <v>88.043853922660418</v>
      </c>
    </row>
    <row r="26" spans="1:7">
      <c r="A26" s="51" t="s">
        <v>58</v>
      </c>
      <c r="B26" s="49" t="s">
        <v>326</v>
      </c>
      <c r="C26" s="70">
        <v>6765.3</v>
      </c>
      <c r="D26" s="70"/>
      <c r="E26" s="133">
        <f t="shared" si="0"/>
        <v>0</v>
      </c>
    </row>
    <row r="27" spans="1:7" s="4" customFormat="1">
      <c r="A27" s="46" t="s">
        <v>21</v>
      </c>
      <c r="B27" s="47" t="s">
        <v>22</v>
      </c>
      <c r="C27" s="69"/>
      <c r="D27" s="69"/>
      <c r="E27" s="136"/>
    </row>
    <row r="28" spans="1:7">
      <c r="A28" s="51">
        <v>1</v>
      </c>
      <c r="B28" s="49" t="s">
        <v>252</v>
      </c>
      <c r="C28" s="70"/>
      <c r="D28" s="70"/>
      <c r="E28" s="133"/>
    </row>
    <row r="29" spans="1:7">
      <c r="A29" s="51">
        <v>2</v>
      </c>
      <c r="B29" s="134" t="s">
        <v>253</v>
      </c>
      <c r="C29" s="70"/>
      <c r="D29" s="70"/>
      <c r="E29" s="133"/>
    </row>
    <row r="30" spans="1:7">
      <c r="A30" s="46" t="s">
        <v>24</v>
      </c>
      <c r="B30" s="47" t="s">
        <v>23</v>
      </c>
      <c r="C30" s="69"/>
      <c r="D30" s="69">
        <v>157141</v>
      </c>
      <c r="E30" s="133"/>
    </row>
    <row r="31" spans="1:7">
      <c r="A31" s="46" t="s">
        <v>46</v>
      </c>
      <c r="B31" s="47" t="s">
        <v>59</v>
      </c>
      <c r="C31" s="69"/>
      <c r="D31" s="69">
        <v>876</v>
      </c>
      <c r="E31" s="133"/>
    </row>
    <row r="32" spans="1:7">
      <c r="A32" s="46" t="s">
        <v>47</v>
      </c>
      <c r="B32" s="47" t="s">
        <v>60</v>
      </c>
      <c r="C32" s="69"/>
      <c r="D32" s="69">
        <v>103492</v>
      </c>
      <c r="E32" s="133"/>
    </row>
    <row r="33" spans="1:5">
      <c r="A33" s="46" t="s">
        <v>55</v>
      </c>
      <c r="B33" s="47" t="s">
        <v>282</v>
      </c>
      <c r="C33" s="69"/>
      <c r="D33" s="69"/>
      <c r="E33" s="133"/>
    </row>
    <row r="34" spans="1:5">
      <c r="A34" s="46" t="s">
        <v>48</v>
      </c>
      <c r="B34" s="47" t="s">
        <v>61</v>
      </c>
      <c r="C34" s="69"/>
      <c r="D34" s="69">
        <f>D7-D19</f>
        <v>5801</v>
      </c>
      <c r="E34" s="133"/>
    </row>
  </sheetData>
  <mergeCells count="5">
    <mergeCell ref="D1:E1"/>
    <mergeCell ref="A2:E2"/>
    <mergeCell ref="A3:E3"/>
    <mergeCell ref="D4:E4"/>
    <mergeCell ref="A1:B1"/>
  </mergeCells>
  <phoneticPr fontId="28" type="noConversion"/>
  <printOptions horizontalCentered="1"/>
  <pageMargins left="0.2" right="0.19" top="0.5" bottom="0.5" header="0.3" footer="0.3"/>
  <pageSetup paperSize="9" scale="90" orientation="portrait" verticalDpi="0" r:id="rId1"/>
  <headerFoot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zoomScale="120" zoomScaleNormal="120" workbookViewId="0">
      <selection sqref="A1:B1"/>
    </sheetView>
  </sheetViews>
  <sheetFormatPr defaultColWidth="9.140625" defaultRowHeight="18.75"/>
  <cols>
    <col min="1" max="1" width="6.42578125" style="1" customWidth="1"/>
    <col min="2" max="2" width="53.28515625" style="1" customWidth="1"/>
    <col min="3" max="3" width="13.85546875" style="1" customWidth="1"/>
    <col min="4" max="4" width="12.42578125" style="1" customWidth="1"/>
    <col min="5" max="5" width="13.28515625" style="1" customWidth="1"/>
    <col min="6" max="6" width="12.140625" style="1" customWidth="1"/>
    <col min="7" max="7" width="13.28515625" style="1" customWidth="1"/>
    <col min="8" max="8" width="12" style="1" customWidth="1"/>
    <col min="9" max="16384" width="9.140625" style="1"/>
  </cols>
  <sheetData>
    <row r="1" spans="1:10">
      <c r="A1" s="95"/>
      <c r="B1" s="95"/>
      <c r="G1" s="92" t="s">
        <v>27</v>
      </c>
      <c r="H1" s="92"/>
    </row>
    <row r="2" spans="1:10">
      <c r="A2" s="93" t="s">
        <v>385</v>
      </c>
      <c r="B2" s="93"/>
      <c r="C2" s="93"/>
      <c r="D2" s="93"/>
      <c r="E2" s="93"/>
      <c r="F2" s="93"/>
      <c r="G2" s="93"/>
      <c r="H2" s="93"/>
    </row>
    <row r="3" spans="1:10">
      <c r="A3" s="94" t="str">
        <f>'BIEU 96'!A3:E3</f>
        <v>(Đính kèm Quyết định số:         /QĐ-UBND ngày      /7/2024 của UBND huyện Phụng Hiệp)</v>
      </c>
      <c r="B3" s="94"/>
      <c r="C3" s="94"/>
      <c r="D3" s="94"/>
      <c r="E3" s="94"/>
      <c r="F3" s="94"/>
      <c r="G3" s="94"/>
      <c r="H3" s="94"/>
    </row>
    <row r="4" spans="1:10">
      <c r="G4" s="92" t="s">
        <v>26</v>
      </c>
      <c r="H4" s="92"/>
    </row>
    <row r="5" spans="1:10" s="4" customFormat="1">
      <c r="A5" s="141" t="s">
        <v>0</v>
      </c>
      <c r="B5" s="141" t="s">
        <v>4</v>
      </c>
      <c r="C5" s="141" t="s">
        <v>1</v>
      </c>
      <c r="D5" s="141"/>
      <c r="E5" s="141" t="s">
        <v>2</v>
      </c>
      <c r="F5" s="141"/>
      <c r="G5" s="141" t="s">
        <v>3</v>
      </c>
      <c r="H5" s="141"/>
    </row>
    <row r="6" spans="1:10" s="4" customFormat="1" ht="37.5">
      <c r="A6" s="141"/>
      <c r="B6" s="141"/>
      <c r="C6" s="138" t="s">
        <v>254</v>
      </c>
      <c r="D6" s="138" t="s">
        <v>255</v>
      </c>
      <c r="E6" s="138" t="s">
        <v>254</v>
      </c>
      <c r="F6" s="138" t="s">
        <v>255</v>
      </c>
      <c r="G6" s="138" t="s">
        <v>254</v>
      </c>
      <c r="H6" s="138" t="s">
        <v>255</v>
      </c>
    </row>
    <row r="7" spans="1:10">
      <c r="A7" s="62"/>
      <c r="B7" s="63" t="s">
        <v>296</v>
      </c>
      <c r="C7" s="142">
        <f>C8+C58+C59+C60</f>
        <v>340031</v>
      </c>
      <c r="D7" s="142">
        <f>D8+D58+D59+D60</f>
        <v>338031</v>
      </c>
      <c r="E7" s="142">
        <f>E8+E58+E59+E60</f>
        <v>369367</v>
      </c>
      <c r="F7" s="142">
        <f>F8+F58+F59+F60</f>
        <v>360631</v>
      </c>
      <c r="G7" s="57">
        <f t="shared" ref="G7:H9" si="0">E7/C7*100</f>
        <v>108.62744867379739</v>
      </c>
      <c r="H7" s="57">
        <f t="shared" si="0"/>
        <v>106.6857773399481</v>
      </c>
    </row>
    <row r="8" spans="1:10">
      <c r="A8" s="62" t="s">
        <v>5</v>
      </c>
      <c r="B8" s="63" t="s">
        <v>28</v>
      </c>
      <c r="C8" s="142">
        <f>C9+C47+C48+C49+C50</f>
        <v>113550</v>
      </c>
      <c r="D8" s="142">
        <f>D9+D47+D48+D49+D50</f>
        <v>111550</v>
      </c>
      <c r="E8" s="142">
        <f>E9+E47+E48+E49+E50+E57</f>
        <v>142886</v>
      </c>
      <c r="F8" s="142">
        <f>F9+F47+F48+F49+F50+F57</f>
        <v>134150</v>
      </c>
      <c r="G8" s="57">
        <f t="shared" si="0"/>
        <v>125.83531483927786</v>
      </c>
      <c r="H8" s="57">
        <f t="shared" si="0"/>
        <v>120.2599731062304</v>
      </c>
      <c r="J8" s="45"/>
    </row>
    <row r="9" spans="1:10">
      <c r="A9" s="62" t="s">
        <v>16</v>
      </c>
      <c r="B9" s="63" t="s">
        <v>29</v>
      </c>
      <c r="C9" s="142">
        <f>C10+C12+C14+C16+C21+C22+C25+C26+C31+C32+C33+C34+C35+C36+C38+C39+C43+C44+C45+C46</f>
        <v>113550</v>
      </c>
      <c r="D9" s="142">
        <f>D10+D12+D14+D16+D21+D22+D25+D26+D31+D32+D33+D34+D35+D36+D38+D39+D43+D44+D45+D46</f>
        <v>111550</v>
      </c>
      <c r="E9" s="142">
        <f>E10+E12+E14+E16+E21+E22+E25+E26+E31+E32+E33+E34+E35+E36+E38+E39+E43+E44+E45+E46</f>
        <v>135353</v>
      </c>
      <c r="F9" s="142">
        <f>F10+F12+F14+F16+F21+F22+F25+F26+F31+F32+F33+F34+F35+F36+F38+F39+F43+F44+F45+F46</f>
        <v>127206</v>
      </c>
      <c r="G9" s="57">
        <f t="shared" si="0"/>
        <v>119.20123293703216</v>
      </c>
      <c r="H9" s="57">
        <f t="shared" si="0"/>
        <v>114.03496190049304</v>
      </c>
    </row>
    <row r="10" spans="1:10">
      <c r="A10" s="75">
        <v>1</v>
      </c>
      <c r="B10" s="143" t="s">
        <v>297</v>
      </c>
      <c r="C10" s="144"/>
      <c r="D10" s="144"/>
      <c r="E10" s="144"/>
      <c r="F10" s="144"/>
      <c r="G10" s="57"/>
      <c r="H10" s="57"/>
    </row>
    <row r="11" spans="1:10">
      <c r="A11" s="75"/>
      <c r="B11" s="143" t="s">
        <v>30</v>
      </c>
      <c r="C11" s="65"/>
      <c r="D11" s="65"/>
      <c r="E11" s="65"/>
      <c r="F11" s="65"/>
      <c r="G11" s="57"/>
      <c r="H11" s="57"/>
    </row>
    <row r="12" spans="1:10">
      <c r="A12" s="75">
        <f>A10+1</f>
        <v>2</v>
      </c>
      <c r="B12" s="143" t="s">
        <v>298</v>
      </c>
      <c r="C12" s="65"/>
      <c r="D12" s="65"/>
      <c r="E12" s="65"/>
      <c r="F12" s="65"/>
      <c r="G12" s="57"/>
      <c r="H12" s="57"/>
    </row>
    <row r="13" spans="1:10">
      <c r="A13" s="145"/>
      <c r="B13" s="143" t="s">
        <v>30</v>
      </c>
      <c r="C13" s="65"/>
      <c r="D13" s="65"/>
      <c r="E13" s="65"/>
      <c r="F13" s="65"/>
      <c r="G13" s="57"/>
      <c r="H13" s="57"/>
    </row>
    <row r="14" spans="1:10">
      <c r="A14" s="75">
        <f>A12+1</f>
        <v>3</v>
      </c>
      <c r="B14" s="143" t="s">
        <v>299</v>
      </c>
      <c r="C14" s="65"/>
      <c r="D14" s="65"/>
      <c r="E14" s="65"/>
      <c r="F14" s="65"/>
      <c r="G14" s="57"/>
      <c r="H14" s="57"/>
    </row>
    <row r="15" spans="1:10">
      <c r="A15" s="145"/>
      <c r="B15" s="143" t="s">
        <v>30</v>
      </c>
      <c r="C15" s="65"/>
      <c r="D15" s="65"/>
      <c r="E15" s="65"/>
      <c r="F15" s="65"/>
      <c r="G15" s="57"/>
      <c r="H15" s="57"/>
    </row>
    <row r="16" spans="1:10">
      <c r="A16" s="75">
        <f>A14+1</f>
        <v>4</v>
      </c>
      <c r="B16" s="143" t="s">
        <v>300</v>
      </c>
      <c r="C16" s="65">
        <v>49550</v>
      </c>
      <c r="D16" s="65">
        <f>C16</f>
        <v>49550</v>
      </c>
      <c r="E16" s="65">
        <f>SUM(E17:E19)+E20</f>
        <v>46795</v>
      </c>
      <c r="F16" s="65">
        <f>SUM(F17:F19)+F20</f>
        <v>46743</v>
      </c>
      <c r="G16" s="58">
        <f>E16/C16*100</f>
        <v>94.439959636730578</v>
      </c>
      <c r="H16" s="58">
        <f>F16/D16*100</f>
        <v>94.335015136226033</v>
      </c>
    </row>
    <row r="17" spans="1:8">
      <c r="A17" s="75"/>
      <c r="B17" s="143" t="s">
        <v>31</v>
      </c>
      <c r="C17" s="65"/>
      <c r="D17" s="65"/>
      <c r="E17" s="65">
        <v>46715</v>
      </c>
      <c r="F17" s="65">
        <v>46663</v>
      </c>
      <c r="G17" s="57"/>
      <c r="H17" s="57"/>
    </row>
    <row r="18" spans="1:8">
      <c r="A18" s="75"/>
      <c r="B18" s="143" t="s">
        <v>258</v>
      </c>
      <c r="C18" s="65"/>
      <c r="D18" s="65"/>
      <c r="E18" s="65">
        <v>20</v>
      </c>
      <c r="F18" s="65">
        <f>E18</f>
        <v>20</v>
      </c>
      <c r="G18" s="57"/>
      <c r="H18" s="57"/>
    </row>
    <row r="19" spans="1:8">
      <c r="A19" s="75"/>
      <c r="B19" s="143" t="s">
        <v>32</v>
      </c>
      <c r="C19" s="65"/>
      <c r="D19" s="65"/>
      <c r="E19" s="65">
        <v>60</v>
      </c>
      <c r="F19" s="65">
        <f>E19</f>
        <v>60</v>
      </c>
      <c r="G19" s="57"/>
      <c r="H19" s="57"/>
    </row>
    <row r="20" spans="1:8">
      <c r="A20" s="75"/>
      <c r="B20" s="143" t="s">
        <v>33</v>
      </c>
      <c r="C20" s="65"/>
      <c r="D20" s="65"/>
      <c r="E20" s="65"/>
      <c r="F20" s="65"/>
      <c r="G20" s="57"/>
      <c r="H20" s="57"/>
    </row>
    <row r="21" spans="1:8">
      <c r="A21" s="75">
        <f>A16+1</f>
        <v>5</v>
      </c>
      <c r="B21" s="143" t="s">
        <v>34</v>
      </c>
      <c r="C21" s="65">
        <v>26750</v>
      </c>
      <c r="D21" s="65">
        <f>C21</f>
        <v>26750</v>
      </c>
      <c r="E21" s="65">
        <v>21372</v>
      </c>
      <c r="F21" s="65">
        <v>22655</v>
      </c>
      <c r="G21" s="58">
        <f>E21/C21*100</f>
        <v>79.895327102803734</v>
      </c>
      <c r="H21" s="58">
        <f>F21/D21*100</f>
        <v>84.691588785046733</v>
      </c>
    </row>
    <row r="22" spans="1:8">
      <c r="A22" s="75">
        <f>A21+1</f>
        <v>6</v>
      </c>
      <c r="B22" s="143" t="s">
        <v>35</v>
      </c>
      <c r="C22" s="65"/>
      <c r="D22" s="65"/>
      <c r="E22" s="65"/>
      <c r="F22" s="65"/>
      <c r="G22" s="57"/>
      <c r="H22" s="57"/>
    </row>
    <row r="23" spans="1:8">
      <c r="A23" s="146" t="s">
        <v>12</v>
      </c>
      <c r="B23" s="147" t="s">
        <v>301</v>
      </c>
      <c r="C23" s="65"/>
      <c r="D23" s="65"/>
      <c r="E23" s="65"/>
      <c r="F23" s="65"/>
      <c r="G23" s="57"/>
      <c r="H23" s="57"/>
    </row>
    <row r="24" spans="1:8">
      <c r="A24" s="146" t="s">
        <v>12</v>
      </c>
      <c r="B24" s="147" t="s">
        <v>302</v>
      </c>
      <c r="C24" s="65"/>
      <c r="D24" s="65"/>
      <c r="E24" s="65"/>
      <c r="F24" s="65"/>
      <c r="G24" s="57"/>
      <c r="H24" s="57"/>
    </row>
    <row r="25" spans="1:8">
      <c r="A25" s="75">
        <f>A22+1</f>
        <v>7</v>
      </c>
      <c r="B25" s="143" t="s">
        <v>36</v>
      </c>
      <c r="C25" s="65">
        <v>26250</v>
      </c>
      <c r="D25" s="65">
        <f>C25</f>
        <v>26250</v>
      </c>
      <c r="E25" s="65">
        <v>23136</v>
      </c>
      <c r="F25" s="65">
        <f>E25</f>
        <v>23136</v>
      </c>
      <c r="G25" s="58">
        <f>E25/C25*100</f>
        <v>88.137142857142862</v>
      </c>
      <c r="H25" s="58">
        <f>F25/D25*100</f>
        <v>88.137142857142862</v>
      </c>
    </row>
    <row r="26" spans="1:8">
      <c r="A26" s="75">
        <f>A25+1</f>
        <v>8</v>
      </c>
      <c r="B26" s="143" t="s">
        <v>37</v>
      </c>
      <c r="C26" s="65">
        <v>3300</v>
      </c>
      <c r="D26" s="65">
        <f>C26</f>
        <v>3300</v>
      </c>
      <c r="E26" s="65">
        <v>5036</v>
      </c>
      <c r="F26" s="65">
        <v>2825</v>
      </c>
      <c r="G26" s="58">
        <f>E26/C26*100</f>
        <v>152.60606060606062</v>
      </c>
      <c r="H26" s="58">
        <f>F26/D26*100</f>
        <v>85.606060606060609</v>
      </c>
    </row>
    <row r="27" spans="1:8">
      <c r="A27" s="64" t="s">
        <v>12</v>
      </c>
      <c r="B27" s="147" t="s">
        <v>303</v>
      </c>
      <c r="C27" s="65"/>
      <c r="D27" s="65"/>
      <c r="E27" s="65"/>
      <c r="F27" s="65"/>
      <c r="G27" s="57"/>
      <c r="H27" s="57"/>
    </row>
    <row r="28" spans="1:8">
      <c r="A28" s="64" t="s">
        <v>12</v>
      </c>
      <c r="B28" s="147" t="s">
        <v>304</v>
      </c>
      <c r="C28" s="65"/>
      <c r="D28" s="65"/>
      <c r="E28" s="65"/>
      <c r="F28" s="65"/>
      <c r="G28" s="57"/>
      <c r="H28" s="57"/>
    </row>
    <row r="29" spans="1:8">
      <c r="A29" s="64" t="s">
        <v>12</v>
      </c>
      <c r="B29" s="147" t="s">
        <v>305</v>
      </c>
      <c r="C29" s="65"/>
      <c r="D29" s="65"/>
      <c r="E29" s="65"/>
      <c r="F29" s="65"/>
      <c r="G29" s="57"/>
      <c r="H29" s="57"/>
    </row>
    <row r="30" spans="1:8">
      <c r="A30" s="64" t="s">
        <v>12</v>
      </c>
      <c r="B30" s="147" t="s">
        <v>306</v>
      </c>
      <c r="C30" s="65"/>
      <c r="D30" s="65"/>
      <c r="E30" s="65"/>
      <c r="F30" s="65"/>
      <c r="G30" s="57"/>
      <c r="H30" s="57"/>
    </row>
    <row r="31" spans="1:8">
      <c r="A31" s="75">
        <f>A26+1</f>
        <v>9</v>
      </c>
      <c r="B31" s="143" t="s">
        <v>38</v>
      </c>
      <c r="C31" s="65"/>
      <c r="D31" s="65"/>
      <c r="E31" s="65"/>
      <c r="F31" s="65"/>
      <c r="G31" s="57"/>
      <c r="H31" s="57"/>
    </row>
    <row r="32" spans="1:8">
      <c r="A32" s="75">
        <f>A31+1</f>
        <v>10</v>
      </c>
      <c r="B32" s="143" t="s">
        <v>39</v>
      </c>
      <c r="C32" s="65"/>
      <c r="D32" s="65"/>
      <c r="E32" s="65">
        <v>4</v>
      </c>
      <c r="F32" s="65">
        <f>E32</f>
        <v>4</v>
      </c>
      <c r="G32" s="57"/>
      <c r="H32" s="57"/>
    </row>
    <row r="33" spans="1:8">
      <c r="A33" s="75">
        <f t="shared" ref="A33:A46" si="1">A32+1</f>
        <v>11</v>
      </c>
      <c r="B33" s="143" t="s">
        <v>40</v>
      </c>
      <c r="C33" s="65"/>
      <c r="D33" s="65"/>
      <c r="E33" s="65">
        <v>12</v>
      </c>
      <c r="F33" s="65"/>
      <c r="G33" s="57"/>
      <c r="H33" s="57"/>
    </row>
    <row r="34" spans="1:8" s="44" customFormat="1" ht="20.25" customHeight="1">
      <c r="A34" s="75">
        <f t="shared" si="1"/>
        <v>12</v>
      </c>
      <c r="B34" s="143" t="s">
        <v>41</v>
      </c>
      <c r="C34" s="65">
        <v>3500</v>
      </c>
      <c r="D34" s="65">
        <v>3500</v>
      </c>
      <c r="E34" s="65">
        <v>27319</v>
      </c>
      <c r="F34" s="65">
        <v>27302</v>
      </c>
      <c r="G34" s="58">
        <f>E34/C34*100</f>
        <v>780.54285714285709</v>
      </c>
      <c r="H34" s="58">
        <f>F34/D34*100</f>
        <v>780.05714285714282</v>
      </c>
    </row>
    <row r="35" spans="1:8" s="44" customFormat="1" ht="20.25" customHeight="1">
      <c r="A35" s="75">
        <f t="shared" si="1"/>
        <v>13</v>
      </c>
      <c r="B35" s="143" t="s">
        <v>42</v>
      </c>
      <c r="C35" s="65"/>
      <c r="D35" s="65"/>
      <c r="E35" s="65"/>
      <c r="F35" s="65"/>
      <c r="G35" s="57"/>
      <c r="H35" s="57"/>
    </row>
    <row r="36" spans="1:8" s="44" customFormat="1" ht="20.25" customHeight="1">
      <c r="A36" s="75">
        <f t="shared" si="1"/>
        <v>14</v>
      </c>
      <c r="B36" s="143" t="s">
        <v>43</v>
      </c>
      <c r="C36" s="65"/>
      <c r="D36" s="65"/>
      <c r="E36" s="65"/>
      <c r="F36" s="65"/>
      <c r="G36" s="57"/>
      <c r="H36" s="57"/>
    </row>
    <row r="37" spans="1:8">
      <c r="A37" s="75"/>
      <c r="B37" s="143" t="s">
        <v>30</v>
      </c>
      <c r="C37" s="65"/>
      <c r="D37" s="65"/>
      <c r="E37" s="65"/>
      <c r="F37" s="65"/>
      <c r="G37" s="57"/>
      <c r="H37" s="57"/>
    </row>
    <row r="38" spans="1:8">
      <c r="A38" s="75">
        <f>A36+1</f>
        <v>15</v>
      </c>
      <c r="B38" s="143" t="s">
        <v>44</v>
      </c>
      <c r="C38" s="65"/>
      <c r="D38" s="65"/>
      <c r="E38" s="65"/>
      <c r="F38" s="65"/>
      <c r="G38" s="57"/>
      <c r="H38" s="57"/>
    </row>
    <row r="39" spans="1:8">
      <c r="A39" s="75">
        <f t="shared" si="1"/>
        <v>16</v>
      </c>
      <c r="B39" s="143" t="s">
        <v>45</v>
      </c>
      <c r="C39" s="65">
        <f>SUM(C40:C42)</f>
        <v>4200</v>
      </c>
      <c r="D39" s="65">
        <f t="shared" ref="D39:F39" si="2">SUM(D40:D42)</f>
        <v>2200</v>
      </c>
      <c r="E39" s="65">
        <f t="shared" si="2"/>
        <v>11679</v>
      </c>
      <c r="F39" s="65">
        <f t="shared" si="2"/>
        <v>4541</v>
      </c>
      <c r="G39" s="58">
        <f>E39/C39*100</f>
        <v>278.07142857142856</v>
      </c>
      <c r="H39" s="58">
        <f>F39/D39*100</f>
        <v>206.40909090909091</v>
      </c>
    </row>
    <row r="40" spans="1:8">
      <c r="A40" s="145"/>
      <c r="B40" s="147" t="s">
        <v>283</v>
      </c>
      <c r="C40" s="148">
        <v>2200</v>
      </c>
      <c r="D40" s="148">
        <f>C40</f>
        <v>2200</v>
      </c>
      <c r="E40" s="148">
        <v>5196</v>
      </c>
      <c r="F40" s="148">
        <v>3664</v>
      </c>
      <c r="G40" s="149"/>
      <c r="H40" s="149"/>
    </row>
    <row r="41" spans="1:8">
      <c r="A41" s="145"/>
      <c r="B41" s="147" t="s">
        <v>284</v>
      </c>
      <c r="C41" s="148">
        <v>400</v>
      </c>
      <c r="D41" s="148"/>
      <c r="E41" s="148">
        <v>546</v>
      </c>
      <c r="F41" s="148"/>
      <c r="G41" s="149"/>
      <c r="H41" s="149"/>
    </row>
    <row r="42" spans="1:8" s="3" customFormat="1">
      <c r="A42" s="145"/>
      <c r="B42" s="147" t="s">
        <v>285</v>
      </c>
      <c r="C42" s="148">
        <v>1600</v>
      </c>
      <c r="D42" s="148"/>
      <c r="E42" s="148">
        <v>5937</v>
      </c>
      <c r="F42" s="148">
        <v>877</v>
      </c>
      <c r="G42" s="149"/>
      <c r="H42" s="149"/>
    </row>
    <row r="43" spans="1:8">
      <c r="A43" s="75">
        <f>A39+1</f>
        <v>17</v>
      </c>
      <c r="B43" s="143" t="s">
        <v>273</v>
      </c>
      <c r="C43" s="65"/>
      <c r="D43" s="65"/>
      <c r="E43" s="65"/>
      <c r="F43" s="65"/>
      <c r="G43" s="57"/>
      <c r="H43" s="57"/>
    </row>
    <row r="44" spans="1:8">
      <c r="A44" s="75">
        <f t="shared" si="1"/>
        <v>18</v>
      </c>
      <c r="B44" s="143" t="s">
        <v>307</v>
      </c>
      <c r="C44" s="65"/>
      <c r="D44" s="65"/>
      <c r="E44" s="65"/>
      <c r="F44" s="65"/>
      <c r="G44" s="57"/>
      <c r="H44" s="57"/>
    </row>
    <row r="45" spans="1:8" ht="48">
      <c r="A45" s="75">
        <f t="shared" si="1"/>
        <v>19</v>
      </c>
      <c r="B45" s="150" t="s">
        <v>308</v>
      </c>
      <c r="C45" s="65"/>
      <c r="D45" s="65"/>
      <c r="E45" s="65"/>
      <c r="F45" s="65"/>
      <c r="G45" s="57"/>
      <c r="H45" s="57"/>
    </row>
    <row r="46" spans="1:8">
      <c r="A46" s="75">
        <f t="shared" si="1"/>
        <v>20</v>
      </c>
      <c r="B46" s="143" t="s">
        <v>309</v>
      </c>
      <c r="C46" s="65"/>
      <c r="D46" s="65"/>
      <c r="E46" s="65"/>
      <c r="F46" s="65"/>
      <c r="G46" s="57"/>
      <c r="H46" s="57"/>
    </row>
    <row r="47" spans="1:8">
      <c r="A47" s="62" t="s">
        <v>21</v>
      </c>
      <c r="B47" s="63" t="s">
        <v>310</v>
      </c>
      <c r="C47" s="142"/>
      <c r="D47" s="142"/>
      <c r="E47" s="142"/>
      <c r="F47" s="142"/>
      <c r="G47" s="57"/>
      <c r="H47" s="57"/>
    </row>
    <row r="48" spans="1:8">
      <c r="A48" s="62" t="s">
        <v>24</v>
      </c>
      <c r="B48" s="63" t="s">
        <v>311</v>
      </c>
      <c r="C48" s="142"/>
      <c r="D48" s="142"/>
      <c r="E48" s="142"/>
      <c r="F48" s="142"/>
      <c r="G48" s="57"/>
      <c r="H48" s="57"/>
    </row>
    <row r="49" spans="1:8">
      <c r="A49" s="62" t="s">
        <v>46</v>
      </c>
      <c r="B49" s="63" t="s">
        <v>277</v>
      </c>
      <c r="C49" s="142"/>
      <c r="D49" s="142"/>
      <c r="E49" s="142">
        <v>6657</v>
      </c>
      <c r="F49" s="142">
        <v>6657</v>
      </c>
      <c r="G49" s="57"/>
      <c r="H49" s="57"/>
    </row>
    <row r="50" spans="1:8">
      <c r="A50" s="62" t="s">
        <v>47</v>
      </c>
      <c r="B50" s="63" t="s">
        <v>312</v>
      </c>
      <c r="C50" s="142"/>
      <c r="D50" s="142"/>
      <c r="E50" s="142"/>
      <c r="F50" s="142"/>
      <c r="G50" s="57"/>
      <c r="H50" s="57"/>
    </row>
    <row r="51" spans="1:8">
      <c r="A51" s="75">
        <v>1</v>
      </c>
      <c r="B51" s="143" t="s">
        <v>313</v>
      </c>
      <c r="C51" s="65"/>
      <c r="D51" s="65"/>
      <c r="E51" s="65"/>
      <c r="F51" s="65"/>
      <c r="G51" s="57"/>
      <c r="H51" s="57"/>
    </row>
    <row r="52" spans="1:8">
      <c r="A52" s="75">
        <f>A51+1</f>
        <v>2</v>
      </c>
      <c r="B52" s="143" t="s">
        <v>314</v>
      </c>
      <c r="C52" s="65"/>
      <c r="D52" s="65"/>
      <c r="E52" s="65"/>
      <c r="F52" s="65"/>
      <c r="G52" s="57"/>
      <c r="H52" s="57"/>
    </row>
    <row r="53" spans="1:8">
      <c r="A53" s="75">
        <f>A52+1</f>
        <v>3</v>
      </c>
      <c r="B53" s="143" t="s">
        <v>315</v>
      </c>
      <c r="C53" s="65"/>
      <c r="D53" s="65"/>
      <c r="E53" s="65"/>
      <c r="F53" s="65"/>
      <c r="G53" s="57"/>
      <c r="H53" s="57"/>
    </row>
    <row r="54" spans="1:8">
      <c r="A54" s="75">
        <f>A53+1</f>
        <v>4</v>
      </c>
      <c r="B54" s="143" t="s">
        <v>316</v>
      </c>
      <c r="C54" s="65"/>
      <c r="D54" s="65"/>
      <c r="E54" s="65"/>
      <c r="F54" s="65"/>
      <c r="G54" s="57"/>
      <c r="H54" s="57"/>
    </row>
    <row r="55" spans="1:8">
      <c r="A55" s="75">
        <f>A54+1</f>
        <v>5</v>
      </c>
      <c r="B55" s="143" t="s">
        <v>317</v>
      </c>
      <c r="C55" s="65"/>
      <c r="D55" s="65"/>
      <c r="E55" s="65"/>
      <c r="F55" s="65"/>
      <c r="G55" s="57"/>
      <c r="H55" s="57"/>
    </row>
    <row r="56" spans="1:8">
      <c r="A56" s="75">
        <f>A55+1</f>
        <v>6</v>
      </c>
      <c r="B56" s="143" t="s">
        <v>318</v>
      </c>
      <c r="C56" s="65"/>
      <c r="D56" s="65"/>
      <c r="E56" s="65"/>
      <c r="F56" s="65"/>
      <c r="G56" s="57"/>
      <c r="H56" s="57"/>
    </row>
    <row r="57" spans="1:8">
      <c r="A57" s="62" t="s">
        <v>46</v>
      </c>
      <c r="B57" s="63" t="s">
        <v>286</v>
      </c>
      <c r="C57" s="142"/>
      <c r="D57" s="142"/>
      <c r="E57" s="142">
        <v>876</v>
      </c>
      <c r="F57" s="142">
        <v>287</v>
      </c>
      <c r="G57" s="57"/>
      <c r="H57" s="57"/>
    </row>
    <row r="58" spans="1:8">
      <c r="A58" s="151" t="s">
        <v>6</v>
      </c>
      <c r="B58" s="152" t="s">
        <v>319</v>
      </c>
      <c r="C58" s="65"/>
      <c r="D58" s="65"/>
      <c r="E58" s="65"/>
      <c r="F58" s="65"/>
      <c r="G58" s="57"/>
      <c r="H58" s="57"/>
    </row>
    <row r="59" spans="1:8">
      <c r="A59" s="151" t="s">
        <v>48</v>
      </c>
      <c r="B59" s="152" t="s">
        <v>49</v>
      </c>
      <c r="C59" s="142">
        <v>4710</v>
      </c>
      <c r="D59" s="142">
        <f>C59</f>
        <v>4710</v>
      </c>
      <c r="E59" s="142">
        <v>4710</v>
      </c>
      <c r="F59" s="142">
        <f>E59</f>
        <v>4710</v>
      </c>
      <c r="G59" s="57">
        <f>E59/C59*100</f>
        <v>100</v>
      </c>
      <c r="H59" s="57">
        <f>F59/D59*100</f>
        <v>100</v>
      </c>
    </row>
    <row r="60" spans="1:8" ht="31.5">
      <c r="A60" s="151" t="s">
        <v>320</v>
      </c>
      <c r="B60" s="153" t="s">
        <v>50</v>
      </c>
      <c r="C60" s="142">
        <v>221771</v>
      </c>
      <c r="D60" s="142">
        <f>C60</f>
        <v>221771</v>
      </c>
      <c r="E60" s="142">
        <f>C60</f>
        <v>221771</v>
      </c>
      <c r="F60" s="142">
        <f>D60</f>
        <v>221771</v>
      </c>
      <c r="G60" s="57">
        <f>E60/C60*100</f>
        <v>100</v>
      </c>
      <c r="H60" s="57">
        <f>F60/D60*100</f>
        <v>100</v>
      </c>
    </row>
  </sheetData>
  <mergeCells count="10">
    <mergeCell ref="C5:D5"/>
    <mergeCell ref="E5:F5"/>
    <mergeCell ref="G5:H5"/>
    <mergeCell ref="G1:H1"/>
    <mergeCell ref="A2:H2"/>
    <mergeCell ref="A3:H3"/>
    <mergeCell ref="G4:H4"/>
    <mergeCell ref="B5:B6"/>
    <mergeCell ref="A5:A6"/>
    <mergeCell ref="A1:B1"/>
  </mergeCells>
  <printOptions horizontalCentered="1"/>
  <pageMargins left="0.24" right="0.16" top="0.28999999999999998" bottom="0.5" header="0.3" footer="0.3"/>
  <pageSetup paperSize="9" orientation="landscape" verticalDpi="0" r:id="rId1"/>
  <headerFooter>
    <oddFooter>&amp;F&amp;RPage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zoomScale="110" zoomScaleNormal="110" workbookViewId="0">
      <selection sqref="A1:B1"/>
    </sheetView>
  </sheetViews>
  <sheetFormatPr defaultColWidth="9.140625" defaultRowHeight="15.75"/>
  <cols>
    <col min="1" max="1" width="6.42578125" style="8" customWidth="1"/>
    <col min="2" max="2" width="58.42578125" style="8" customWidth="1"/>
    <col min="3" max="3" width="13.5703125" style="8" customWidth="1"/>
    <col min="4" max="4" width="13.28515625" style="8" bestFit="1" customWidth="1"/>
    <col min="5" max="5" width="10.85546875" style="8" customWidth="1"/>
    <col min="6" max="6" width="12.7109375" style="8" customWidth="1"/>
    <col min="7" max="7" width="14" style="8" bestFit="1" customWidth="1"/>
    <col min="8" max="8" width="13.28515625" style="8" bestFit="1" customWidth="1"/>
    <col min="9" max="11" width="10.85546875" style="8" bestFit="1" customWidth="1"/>
    <col min="12" max="12" width="9.140625" style="8"/>
    <col min="13" max="13" width="9.7109375" style="8" bestFit="1" customWidth="1"/>
    <col min="14" max="16384" width="9.140625" style="8"/>
  </cols>
  <sheetData>
    <row r="1" spans="1:13" ht="18.75">
      <c r="A1" s="100"/>
      <c r="B1" s="100"/>
      <c r="C1" s="6"/>
      <c r="D1" s="7"/>
      <c r="E1" s="6"/>
      <c r="F1" s="7"/>
      <c r="G1" s="7"/>
      <c r="H1" s="6"/>
      <c r="I1" s="92" t="s">
        <v>103</v>
      </c>
      <c r="J1" s="92"/>
      <c r="K1" s="92"/>
    </row>
    <row r="2" spans="1:13" ht="20.25" customHeight="1">
      <c r="A2" s="97" t="s">
        <v>85</v>
      </c>
      <c r="B2" s="97"/>
      <c r="C2" s="97"/>
      <c r="D2" s="97"/>
      <c r="E2" s="97"/>
      <c r="F2" s="97"/>
      <c r="G2" s="97"/>
      <c r="H2" s="97"/>
      <c r="I2" s="97"/>
      <c r="J2" s="97"/>
      <c r="K2" s="97"/>
    </row>
    <row r="3" spans="1:13" ht="18.75">
      <c r="A3" s="97" t="s">
        <v>386</v>
      </c>
      <c r="B3" s="97"/>
      <c r="C3" s="97"/>
      <c r="D3" s="97"/>
      <c r="E3" s="97"/>
      <c r="F3" s="97"/>
      <c r="G3" s="97"/>
      <c r="H3" s="97"/>
      <c r="I3" s="97"/>
      <c r="J3" s="97"/>
      <c r="K3" s="97"/>
    </row>
    <row r="4" spans="1:13" ht="18.75">
      <c r="A4" s="98" t="str">
        <f>'BIEU 96'!A3:E3</f>
        <v>(Đính kèm Quyết định số:         /QĐ-UBND ngày      /7/2024 của UBND huyện Phụng Hiệp)</v>
      </c>
      <c r="B4" s="98"/>
      <c r="C4" s="98"/>
      <c r="D4" s="98"/>
      <c r="E4" s="98"/>
      <c r="F4" s="98"/>
      <c r="G4" s="98"/>
      <c r="H4" s="98"/>
      <c r="I4" s="98"/>
      <c r="J4" s="98"/>
      <c r="K4" s="98"/>
    </row>
    <row r="5" spans="1:13" ht="18.75">
      <c r="A5" s="9"/>
      <c r="B5" s="9"/>
      <c r="C5" s="10"/>
      <c r="D5" s="10"/>
      <c r="E5" s="10"/>
      <c r="F5" s="99" t="s">
        <v>26</v>
      </c>
      <c r="G5" s="99"/>
      <c r="H5" s="99"/>
      <c r="I5" s="99"/>
      <c r="J5" s="99"/>
      <c r="K5" s="99"/>
    </row>
    <row r="6" spans="1:13" s="11" customFormat="1" ht="18.75">
      <c r="A6" s="96" t="s">
        <v>0</v>
      </c>
      <c r="B6" s="96" t="s">
        <v>86</v>
      </c>
      <c r="C6" s="104" t="s">
        <v>62</v>
      </c>
      <c r="D6" s="96" t="s">
        <v>63</v>
      </c>
      <c r="E6" s="96"/>
      <c r="F6" s="104" t="s">
        <v>2</v>
      </c>
      <c r="G6" s="96" t="s">
        <v>63</v>
      </c>
      <c r="H6" s="96"/>
      <c r="I6" s="96" t="s">
        <v>3</v>
      </c>
      <c r="J6" s="96"/>
      <c r="K6" s="96"/>
    </row>
    <row r="7" spans="1:13" s="11" customFormat="1" ht="75">
      <c r="A7" s="96"/>
      <c r="B7" s="96"/>
      <c r="C7" s="104"/>
      <c r="D7" s="90" t="s">
        <v>64</v>
      </c>
      <c r="E7" s="90" t="s">
        <v>65</v>
      </c>
      <c r="F7" s="104"/>
      <c r="G7" s="90" t="s">
        <v>64</v>
      </c>
      <c r="H7" s="90" t="s">
        <v>65</v>
      </c>
      <c r="I7" s="90" t="s">
        <v>266</v>
      </c>
      <c r="J7" s="90" t="s">
        <v>64</v>
      </c>
      <c r="K7" s="90" t="s">
        <v>66</v>
      </c>
    </row>
    <row r="8" spans="1:13" s="154" customFormat="1" ht="15">
      <c r="A8" s="77" t="s">
        <v>5</v>
      </c>
      <c r="B8" s="77" t="s">
        <v>6</v>
      </c>
      <c r="C8" s="77" t="s">
        <v>67</v>
      </c>
      <c r="D8" s="77">
        <v>2</v>
      </c>
      <c r="E8" s="77">
        <f>D8+1</f>
        <v>3</v>
      </c>
      <c r="F8" s="77" t="s">
        <v>68</v>
      </c>
      <c r="G8" s="77">
        <v>5</v>
      </c>
      <c r="H8" s="77">
        <f>G8+1</f>
        <v>6</v>
      </c>
      <c r="I8" s="77" t="s">
        <v>69</v>
      </c>
      <c r="J8" s="77" t="s">
        <v>70</v>
      </c>
      <c r="K8" s="77" t="s">
        <v>71</v>
      </c>
    </row>
    <row r="9" spans="1:13" s="10" customFormat="1" ht="18.75">
      <c r="A9" s="46"/>
      <c r="B9" s="47" t="s">
        <v>338</v>
      </c>
      <c r="C9" s="67">
        <f t="shared" ref="C9:H9" si="0">C10+C31+C36+C37</f>
        <v>950994.5</v>
      </c>
      <c r="D9" s="67">
        <f>D10+D31+D36+D37</f>
        <v>834208</v>
      </c>
      <c r="E9" s="67">
        <f t="shared" si="0"/>
        <v>116786</v>
      </c>
      <c r="F9" s="67">
        <f t="shared" si="0"/>
        <v>1109476</v>
      </c>
      <c r="G9" s="67">
        <f t="shared" si="0"/>
        <v>968190</v>
      </c>
      <c r="H9" s="67">
        <f t="shared" si="0"/>
        <v>141286</v>
      </c>
      <c r="I9" s="68">
        <f t="shared" ref="I9:K10" si="1">F9/C9*100</f>
        <v>116.66481772502364</v>
      </c>
      <c r="J9" s="68">
        <f t="shared" si="1"/>
        <v>116.06098239288043</v>
      </c>
      <c r="K9" s="68">
        <f t="shared" si="1"/>
        <v>120.97854194852123</v>
      </c>
    </row>
    <row r="10" spans="1:13" s="10" customFormat="1" ht="18.75">
      <c r="A10" s="46" t="s">
        <v>5</v>
      </c>
      <c r="B10" s="47" t="s">
        <v>339</v>
      </c>
      <c r="C10" s="67">
        <f>C11+C22+C26+C27+C28+C29+C30+0.5</f>
        <v>950994.5</v>
      </c>
      <c r="D10" s="67">
        <f t="shared" ref="D10:F10" si="2">D11+D22+D26+D27+D28+D29+D30</f>
        <v>834208</v>
      </c>
      <c r="E10" s="67">
        <f t="shared" si="2"/>
        <v>116786</v>
      </c>
      <c r="F10" s="67">
        <f t="shared" si="2"/>
        <v>951459</v>
      </c>
      <c r="G10" s="67">
        <f>G11+G22+G26+G27+G28+G29+G30</f>
        <v>820659</v>
      </c>
      <c r="H10" s="67">
        <f>H11+H22+H26+H27+H28+H29+H30</f>
        <v>130800</v>
      </c>
      <c r="I10" s="68">
        <f t="shared" si="1"/>
        <v>100.04884360529951</v>
      </c>
      <c r="J10" s="68">
        <f t="shared" si="1"/>
        <v>98.375824734358815</v>
      </c>
      <c r="K10" s="68">
        <f t="shared" si="1"/>
        <v>111.99972599455414</v>
      </c>
    </row>
    <row r="11" spans="1:13" s="10" customFormat="1" ht="18.75">
      <c r="A11" s="46" t="s">
        <v>16</v>
      </c>
      <c r="B11" s="47" t="s">
        <v>72</v>
      </c>
      <c r="C11" s="67">
        <f t="shared" ref="C11:H11" si="3">C12+C20+C21</f>
        <v>129409</v>
      </c>
      <c r="D11" s="67">
        <f>D12+D20+D21</f>
        <v>129409</v>
      </c>
      <c r="E11" s="67">
        <f t="shared" si="3"/>
        <v>0</v>
      </c>
      <c r="F11" s="67">
        <f t="shared" si="3"/>
        <v>143714</v>
      </c>
      <c r="G11" s="67">
        <f t="shared" si="3"/>
        <v>143714</v>
      </c>
      <c r="H11" s="67">
        <f t="shared" si="3"/>
        <v>0</v>
      </c>
      <c r="I11" s="68">
        <f>F11/C11*100</f>
        <v>111.05409979213192</v>
      </c>
      <c r="J11" s="68">
        <f>G11/D11*100</f>
        <v>111.05409979213192</v>
      </c>
      <c r="K11" s="68"/>
    </row>
    <row r="12" spans="1:13" s="10" customFormat="1" ht="18.75">
      <c r="A12" s="48">
        <v>1</v>
      </c>
      <c r="B12" s="49" t="s">
        <v>73</v>
      </c>
      <c r="C12" s="50">
        <f t="shared" ref="C12:C19" si="4">D12+E12</f>
        <v>129409</v>
      </c>
      <c r="D12" s="50">
        <v>129409</v>
      </c>
      <c r="E12" s="50"/>
      <c r="F12" s="50">
        <f>G12+H12</f>
        <v>141714</v>
      </c>
      <c r="G12" s="50">
        <v>141714</v>
      </c>
      <c r="H12" s="50"/>
      <c r="I12" s="71">
        <f>F12/C12*100</f>
        <v>109.50861222944309</v>
      </c>
      <c r="J12" s="71">
        <f>G12/D12*100</f>
        <v>109.50861222944309</v>
      </c>
      <c r="K12" s="71"/>
      <c r="M12" s="21"/>
    </row>
    <row r="13" spans="1:13" s="12" customFormat="1" ht="18.75">
      <c r="A13" s="48" t="s">
        <v>12</v>
      </c>
      <c r="B13" s="49" t="s">
        <v>74</v>
      </c>
      <c r="C13" s="71">
        <f t="shared" si="4"/>
        <v>0</v>
      </c>
      <c r="D13" s="71">
        <f>'[1]Bieu 51'!C13</f>
        <v>0</v>
      </c>
      <c r="E13" s="50"/>
      <c r="F13" s="71"/>
      <c r="G13" s="71">
        <f>'[1]Bieu 51'!D13</f>
        <v>0</v>
      </c>
      <c r="H13" s="50"/>
      <c r="I13" s="71"/>
      <c r="J13" s="71"/>
      <c r="K13" s="71"/>
    </row>
    <row r="14" spans="1:13" s="12" customFormat="1" ht="18.75">
      <c r="A14" s="48"/>
      <c r="B14" s="49" t="s">
        <v>75</v>
      </c>
      <c r="C14" s="71">
        <f t="shared" si="4"/>
        <v>0</v>
      </c>
      <c r="D14" s="71"/>
      <c r="E14" s="155"/>
      <c r="F14" s="156"/>
      <c r="G14" s="156"/>
      <c r="H14" s="155"/>
      <c r="I14" s="71"/>
      <c r="J14" s="71"/>
      <c r="K14" s="71"/>
    </row>
    <row r="15" spans="1:13" s="12" customFormat="1" ht="18.75">
      <c r="A15" s="51" t="s">
        <v>12</v>
      </c>
      <c r="B15" s="49" t="s">
        <v>272</v>
      </c>
      <c r="C15" s="71">
        <f t="shared" si="4"/>
        <v>0</v>
      </c>
      <c r="D15" s="71">
        <f>'[1]Bieu 51'!C17</f>
        <v>0</v>
      </c>
      <c r="E15" s="50"/>
      <c r="F15" s="70">
        <f>G15+H15</f>
        <v>18372</v>
      </c>
      <c r="G15" s="70">
        <v>18372</v>
      </c>
      <c r="H15" s="50"/>
      <c r="I15" s="71"/>
      <c r="J15" s="71"/>
      <c r="K15" s="71"/>
    </row>
    <row r="16" spans="1:13" s="10" customFormat="1" ht="18.75">
      <c r="A16" s="51" t="s">
        <v>12</v>
      </c>
      <c r="B16" s="49" t="s">
        <v>76</v>
      </c>
      <c r="C16" s="71">
        <f t="shared" si="4"/>
        <v>0</v>
      </c>
      <c r="D16" s="71"/>
      <c r="E16" s="50"/>
      <c r="F16" s="70"/>
      <c r="G16" s="70"/>
      <c r="H16" s="50"/>
      <c r="I16" s="71"/>
      <c r="J16" s="71"/>
      <c r="K16" s="71"/>
    </row>
    <row r="17" spans="1:11" s="12" customFormat="1" ht="18.75">
      <c r="A17" s="48"/>
      <c r="B17" s="49" t="s">
        <v>77</v>
      </c>
      <c r="C17" s="71">
        <f t="shared" si="4"/>
        <v>0</v>
      </c>
      <c r="D17" s="71"/>
      <c r="E17" s="50"/>
      <c r="F17" s="71"/>
      <c r="G17" s="71"/>
      <c r="H17" s="50"/>
      <c r="I17" s="71"/>
      <c r="J17" s="71"/>
      <c r="K17" s="71"/>
    </row>
    <row r="18" spans="1:11" s="12" customFormat="1" ht="18.75">
      <c r="A18" s="51" t="s">
        <v>12</v>
      </c>
      <c r="B18" s="49" t="s">
        <v>78</v>
      </c>
      <c r="C18" s="71">
        <f>D18+E18</f>
        <v>0</v>
      </c>
      <c r="D18" s="71"/>
      <c r="E18" s="50"/>
      <c r="F18" s="71"/>
      <c r="G18" s="71"/>
      <c r="H18" s="50"/>
      <c r="I18" s="71"/>
      <c r="J18" s="71"/>
      <c r="K18" s="71"/>
    </row>
    <row r="19" spans="1:11" s="12" customFormat="1" ht="18.75">
      <c r="A19" s="51" t="s">
        <v>12</v>
      </c>
      <c r="B19" s="49" t="s">
        <v>79</v>
      </c>
      <c r="C19" s="71">
        <f t="shared" si="4"/>
        <v>0</v>
      </c>
      <c r="D19" s="71"/>
      <c r="E19" s="155"/>
      <c r="F19" s="156"/>
      <c r="G19" s="156"/>
      <c r="H19" s="155"/>
      <c r="I19" s="71"/>
      <c r="J19" s="71"/>
      <c r="K19" s="71"/>
    </row>
    <row r="20" spans="1:11" s="10" customFormat="1" ht="75">
      <c r="A20" s="157">
        <v>2</v>
      </c>
      <c r="B20" s="158" t="s">
        <v>80</v>
      </c>
      <c r="C20" s="71"/>
      <c r="D20" s="71"/>
      <c r="E20" s="155"/>
      <c r="F20" s="71">
        <f>G20+H20</f>
        <v>0</v>
      </c>
      <c r="G20" s="71"/>
      <c r="H20" s="155"/>
      <c r="I20" s="71"/>
      <c r="J20" s="71"/>
      <c r="K20" s="71"/>
    </row>
    <row r="21" spans="1:11" s="10" customFormat="1" ht="18.75">
      <c r="A21" s="48">
        <v>3</v>
      </c>
      <c r="B21" s="49" t="s">
        <v>340</v>
      </c>
      <c r="C21" s="50"/>
      <c r="D21" s="50"/>
      <c r="E21" s="155"/>
      <c r="F21" s="50">
        <f>G21+H21</f>
        <v>2000</v>
      </c>
      <c r="G21" s="50">
        <v>2000</v>
      </c>
      <c r="H21" s="50"/>
      <c r="I21" s="71"/>
      <c r="J21" s="71"/>
      <c r="K21" s="71"/>
    </row>
    <row r="22" spans="1:11" s="13" customFormat="1" ht="18.75">
      <c r="A22" s="46" t="s">
        <v>21</v>
      </c>
      <c r="B22" s="47" t="s">
        <v>18</v>
      </c>
      <c r="C22" s="67">
        <f>D22+E22</f>
        <v>730737</v>
      </c>
      <c r="D22" s="67">
        <v>616206</v>
      </c>
      <c r="E22" s="67">
        <v>114531</v>
      </c>
      <c r="F22" s="67">
        <f>G22+H22</f>
        <v>695731.5</v>
      </c>
      <c r="G22" s="67">
        <v>564931.5</v>
      </c>
      <c r="H22" s="67">
        <v>130800</v>
      </c>
      <c r="I22" s="68">
        <f>F22/C22*100</f>
        <v>95.209562400699568</v>
      </c>
      <c r="J22" s="68">
        <f>G22/D22*100</f>
        <v>91.679000204477077</v>
      </c>
      <c r="K22" s="68">
        <f>H22/E22*100</f>
        <v>114.20488775964586</v>
      </c>
    </row>
    <row r="23" spans="1:11" s="10" customFormat="1" ht="18.75">
      <c r="A23" s="46"/>
      <c r="B23" s="49" t="s">
        <v>81</v>
      </c>
      <c r="C23" s="50"/>
      <c r="D23" s="70"/>
      <c r="E23" s="159"/>
      <c r="F23" s="159"/>
      <c r="G23" s="159"/>
      <c r="H23" s="159"/>
      <c r="I23" s="71"/>
      <c r="J23" s="71"/>
      <c r="K23" s="71"/>
    </row>
    <row r="24" spans="1:11" s="10" customFormat="1" ht="18.75">
      <c r="A24" s="48">
        <v>1</v>
      </c>
      <c r="B24" s="49" t="s">
        <v>268</v>
      </c>
      <c r="C24" s="50">
        <f t="shared" ref="C24:C29" si="5">D24+E24</f>
        <v>312097</v>
      </c>
      <c r="D24" s="70">
        <v>312097</v>
      </c>
      <c r="E24" s="70"/>
      <c r="F24" s="70">
        <f>G24+H24</f>
        <v>309431</v>
      </c>
      <c r="G24" s="70">
        <v>309431</v>
      </c>
      <c r="H24" s="70"/>
      <c r="I24" s="71">
        <f>F24/C24*100</f>
        <v>99.145778395819249</v>
      </c>
      <c r="J24" s="71">
        <f>G24/D24*100</f>
        <v>99.145778395819249</v>
      </c>
      <c r="K24" s="71"/>
    </row>
    <row r="25" spans="1:11" s="10" customFormat="1" ht="18.75">
      <c r="A25" s="48">
        <f>A24+1</f>
        <v>2</v>
      </c>
      <c r="B25" s="49" t="s">
        <v>82</v>
      </c>
      <c r="C25" s="50">
        <f t="shared" si="5"/>
        <v>560</v>
      </c>
      <c r="D25" s="70">
        <f>'[1]Bieu 51'!C33</f>
        <v>560</v>
      </c>
      <c r="E25" s="70"/>
      <c r="F25" s="70">
        <f>G25+H25</f>
        <v>433</v>
      </c>
      <c r="G25" s="70">
        <v>433</v>
      </c>
      <c r="H25" s="70"/>
      <c r="I25" s="71">
        <f>F25/C25*100</f>
        <v>77.321428571428569</v>
      </c>
      <c r="J25" s="71">
        <f>G25/D25*100</f>
        <v>77.321428571428569</v>
      </c>
      <c r="K25" s="71"/>
    </row>
    <row r="26" spans="1:11" s="14" customFormat="1" ht="18.75">
      <c r="A26" s="46" t="s">
        <v>24</v>
      </c>
      <c r="B26" s="47" t="s">
        <v>341</v>
      </c>
      <c r="C26" s="160">
        <f t="shared" si="5"/>
        <v>0</v>
      </c>
      <c r="D26" s="161"/>
      <c r="E26" s="159"/>
      <c r="F26" s="159"/>
      <c r="G26" s="159"/>
      <c r="H26" s="159"/>
      <c r="I26" s="71"/>
      <c r="J26" s="71"/>
      <c r="K26" s="68"/>
    </row>
    <row r="27" spans="1:11" s="14" customFormat="1" ht="18.75">
      <c r="A27" s="46" t="s">
        <v>46</v>
      </c>
      <c r="B27" s="47" t="s">
        <v>259</v>
      </c>
      <c r="C27" s="162">
        <f t="shared" si="5"/>
        <v>74326</v>
      </c>
      <c r="D27" s="163">
        <v>74326</v>
      </c>
      <c r="E27" s="159"/>
      <c r="F27" s="69">
        <f>G27+H27</f>
        <v>103491.5</v>
      </c>
      <c r="G27" s="69">
        <v>103491.5</v>
      </c>
      <c r="H27" s="69"/>
      <c r="I27" s="68">
        <f t="shared" ref="I27:J28" si="6">F27/C27*100</f>
        <v>139.23996986249765</v>
      </c>
      <c r="J27" s="68">
        <f t="shared" si="6"/>
        <v>139.23996986249765</v>
      </c>
      <c r="K27" s="68"/>
    </row>
    <row r="28" spans="1:11" s="14" customFormat="1" ht="18.75">
      <c r="A28" s="46" t="s">
        <v>47</v>
      </c>
      <c r="B28" s="47" t="s">
        <v>57</v>
      </c>
      <c r="C28" s="164">
        <f t="shared" si="5"/>
        <v>9757</v>
      </c>
      <c r="D28" s="165">
        <v>9757</v>
      </c>
      <c r="E28" s="159"/>
      <c r="F28" s="69">
        <f>G28+H28</f>
        <v>8522</v>
      </c>
      <c r="G28" s="69">
        <v>8522</v>
      </c>
      <c r="H28" s="159"/>
      <c r="I28" s="68">
        <f t="shared" si="6"/>
        <v>87.342420826073592</v>
      </c>
      <c r="J28" s="68">
        <f t="shared" si="6"/>
        <v>87.342420826073592</v>
      </c>
      <c r="K28" s="68"/>
    </row>
    <row r="29" spans="1:11" s="14" customFormat="1" ht="18.75">
      <c r="A29" s="46" t="s">
        <v>55</v>
      </c>
      <c r="B29" s="47" t="s">
        <v>326</v>
      </c>
      <c r="C29" s="164">
        <f t="shared" si="5"/>
        <v>6765</v>
      </c>
      <c r="D29" s="165">
        <v>4510</v>
      </c>
      <c r="E29" s="131">
        <v>2255</v>
      </c>
      <c r="F29" s="166"/>
      <c r="G29" s="166"/>
      <c r="H29" s="166"/>
      <c r="I29" s="167"/>
      <c r="J29" s="167"/>
      <c r="K29" s="167"/>
    </row>
    <row r="30" spans="1:11" s="15" customFormat="1" ht="19.5">
      <c r="A30" s="46" t="s">
        <v>287</v>
      </c>
      <c r="B30" s="47" t="s">
        <v>282</v>
      </c>
      <c r="C30" s="164"/>
      <c r="D30" s="165"/>
      <c r="E30" s="159"/>
      <c r="F30" s="69">
        <f>G30+H30</f>
        <v>0</v>
      </c>
      <c r="G30" s="69"/>
      <c r="H30" s="69"/>
      <c r="I30" s="68"/>
      <c r="J30" s="68"/>
      <c r="K30" s="68"/>
    </row>
    <row r="31" spans="1:11" ht="18.75">
      <c r="A31" s="46" t="s">
        <v>6</v>
      </c>
      <c r="B31" s="168" t="s">
        <v>269</v>
      </c>
      <c r="C31" s="169"/>
      <c r="D31" s="67"/>
      <c r="E31" s="155"/>
      <c r="F31" s="155"/>
      <c r="G31" s="155"/>
      <c r="H31" s="155"/>
      <c r="I31" s="68"/>
      <c r="J31" s="68"/>
      <c r="K31" s="68"/>
    </row>
    <row r="32" spans="1:11" ht="18.75">
      <c r="A32" s="46" t="s">
        <v>16</v>
      </c>
      <c r="B32" s="47" t="s">
        <v>342</v>
      </c>
      <c r="C32" s="170"/>
      <c r="D32" s="170"/>
      <c r="E32" s="155"/>
      <c r="F32" s="155"/>
      <c r="G32" s="155"/>
      <c r="H32" s="155"/>
      <c r="I32" s="71"/>
      <c r="J32" s="71"/>
      <c r="K32" s="71"/>
    </row>
    <row r="33" spans="1:11" ht="18.75">
      <c r="A33" s="48"/>
      <c r="B33" s="49" t="s">
        <v>343</v>
      </c>
      <c r="C33" s="170"/>
      <c r="D33" s="170"/>
      <c r="E33" s="155"/>
      <c r="F33" s="155"/>
      <c r="G33" s="155"/>
      <c r="H33" s="155"/>
      <c r="I33" s="71"/>
      <c r="J33" s="71"/>
      <c r="K33" s="71"/>
    </row>
    <row r="34" spans="1:11" ht="18.75">
      <c r="A34" s="46" t="s">
        <v>21</v>
      </c>
      <c r="B34" s="47" t="s">
        <v>344</v>
      </c>
      <c r="C34" s="170"/>
      <c r="D34" s="170"/>
      <c r="E34" s="155"/>
      <c r="F34" s="155"/>
      <c r="G34" s="155"/>
      <c r="H34" s="155"/>
      <c r="I34" s="71"/>
      <c r="J34" s="71"/>
      <c r="K34" s="71"/>
    </row>
    <row r="35" spans="1:11" s="10" customFormat="1" ht="18.75">
      <c r="A35" s="46"/>
      <c r="B35" s="49" t="s">
        <v>83</v>
      </c>
      <c r="C35" s="170"/>
      <c r="D35" s="170"/>
      <c r="E35" s="155"/>
      <c r="F35" s="155"/>
      <c r="G35" s="155"/>
      <c r="H35" s="155"/>
      <c r="I35" s="71"/>
      <c r="J35" s="71"/>
      <c r="K35" s="71"/>
    </row>
    <row r="36" spans="1:11" s="10" customFormat="1" ht="18.75">
      <c r="A36" s="46" t="s">
        <v>48</v>
      </c>
      <c r="B36" s="47" t="s">
        <v>270</v>
      </c>
      <c r="C36" s="50"/>
      <c r="D36" s="50"/>
      <c r="E36" s="155"/>
      <c r="F36" s="171">
        <f>SUM(G36:H36)</f>
        <v>157141</v>
      </c>
      <c r="G36" s="171">
        <v>146942</v>
      </c>
      <c r="H36" s="171">
        <v>10199</v>
      </c>
      <c r="I36" s="71"/>
      <c r="J36" s="71"/>
      <c r="K36" s="71"/>
    </row>
    <row r="37" spans="1:11" ht="18.75">
      <c r="A37" s="46" t="s">
        <v>84</v>
      </c>
      <c r="B37" s="47" t="s">
        <v>271</v>
      </c>
      <c r="C37" s="50"/>
      <c r="D37" s="50"/>
      <c r="E37" s="155"/>
      <c r="F37" s="67">
        <f>SUM(G37:H37)</f>
        <v>876</v>
      </c>
      <c r="G37" s="69">
        <v>589</v>
      </c>
      <c r="H37" s="69">
        <v>287</v>
      </c>
      <c r="I37" s="71"/>
      <c r="J37" s="71"/>
      <c r="K37" s="71"/>
    </row>
    <row r="38" spans="1:11">
      <c r="A38" s="16"/>
      <c r="B38" s="16"/>
    </row>
    <row r="39" spans="1:11" ht="18.75">
      <c r="A39" s="12"/>
      <c r="B39" s="17"/>
    </row>
  </sheetData>
  <mergeCells count="13">
    <mergeCell ref="G6:H6"/>
    <mergeCell ref="I6:K6"/>
    <mergeCell ref="A2:K2"/>
    <mergeCell ref="A3:K3"/>
    <mergeCell ref="I1:K1"/>
    <mergeCell ref="A4:K4"/>
    <mergeCell ref="F5:K5"/>
    <mergeCell ref="A6:A7"/>
    <mergeCell ref="B6:B7"/>
    <mergeCell ref="C6:C7"/>
    <mergeCell ref="D6:E6"/>
    <mergeCell ref="F6:F7"/>
    <mergeCell ref="A1:B1"/>
  </mergeCells>
  <printOptions horizontalCentered="1"/>
  <pageMargins left="0.24" right="0.17" top="0.26" bottom="0.71" header="0.2" footer="0.3"/>
  <pageSetup paperSize="9" scale="80" orientation="landscape" verticalDpi="0" r:id="rId1"/>
  <headerFooter>
    <oddFooter>&amp;F&amp;RPage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zoomScale="150" zoomScaleNormal="150" workbookViewId="0">
      <selection activeCell="B27" sqref="B27"/>
    </sheetView>
  </sheetViews>
  <sheetFormatPr defaultColWidth="9.140625" defaultRowHeight="15.75"/>
  <cols>
    <col min="1" max="1" width="7.140625" style="89" customWidth="1"/>
    <col min="2" max="2" width="49.42578125" style="8" customWidth="1"/>
    <col min="3" max="3" width="14.5703125" style="8" customWidth="1"/>
    <col min="4" max="4" width="15.42578125" style="8" customWidth="1"/>
    <col min="5" max="5" width="15.42578125" style="18" customWidth="1"/>
    <col min="6" max="6" width="12.28515625" style="8" bestFit="1" customWidth="1"/>
    <col min="7" max="16384" width="9.140625" style="8"/>
  </cols>
  <sheetData>
    <row r="1" spans="1:7" ht="18.75">
      <c r="A1" s="100"/>
      <c r="B1" s="100"/>
      <c r="C1" s="6"/>
      <c r="D1" s="175" t="s">
        <v>257</v>
      </c>
      <c r="E1" s="175"/>
      <c r="F1" s="1"/>
    </row>
    <row r="2" spans="1:7" ht="18.75">
      <c r="A2" s="97" t="s">
        <v>387</v>
      </c>
      <c r="B2" s="97"/>
      <c r="C2" s="97"/>
      <c r="D2" s="97"/>
      <c r="E2" s="97"/>
    </row>
    <row r="3" spans="1:7">
      <c r="A3" s="101" t="str">
        <f>'BIEU 96'!A3:E3</f>
        <v>(Đính kèm Quyết định số:         /QĐ-UBND ngày      /7/2024 của UBND huyện Phụng Hiệp)</v>
      </c>
      <c r="B3" s="101"/>
      <c r="C3" s="101"/>
      <c r="D3" s="101"/>
      <c r="E3" s="101"/>
    </row>
    <row r="4" spans="1:7" ht="18.75">
      <c r="A4" s="88"/>
      <c r="B4" s="9"/>
      <c r="C4" s="10"/>
      <c r="D4" s="102" t="s">
        <v>26</v>
      </c>
      <c r="E4" s="102"/>
    </row>
    <row r="5" spans="1:7" s="11" customFormat="1" ht="12.75" customHeight="1">
      <c r="A5" s="96" t="s">
        <v>0</v>
      </c>
      <c r="B5" s="96" t="s">
        <v>4</v>
      </c>
      <c r="C5" s="104" t="s">
        <v>1</v>
      </c>
      <c r="D5" s="104" t="s">
        <v>2</v>
      </c>
      <c r="E5" s="96" t="s">
        <v>256</v>
      </c>
    </row>
    <row r="6" spans="1:7" s="11" customFormat="1" ht="9.75" customHeight="1">
      <c r="A6" s="96"/>
      <c r="B6" s="96"/>
      <c r="C6" s="104"/>
      <c r="D6" s="104"/>
      <c r="E6" s="96"/>
      <c r="G6" s="19"/>
    </row>
    <row r="7" spans="1:7" s="11" customFormat="1" ht="7.5" customHeight="1">
      <c r="A7" s="96"/>
      <c r="B7" s="96"/>
      <c r="C7" s="104"/>
      <c r="D7" s="104"/>
      <c r="E7" s="96"/>
    </row>
    <row r="8" spans="1:7" s="154" customFormat="1" ht="15">
      <c r="A8" s="77" t="s">
        <v>5</v>
      </c>
      <c r="B8" s="77" t="s">
        <v>6</v>
      </c>
      <c r="C8" s="77">
        <v>1</v>
      </c>
      <c r="D8" s="77">
        <f>C8+1</f>
        <v>2</v>
      </c>
      <c r="E8" s="77" t="s">
        <v>87</v>
      </c>
    </row>
    <row r="9" spans="1:7" s="10" customFormat="1" ht="18.75">
      <c r="A9" s="87"/>
      <c r="B9" s="130" t="s">
        <v>278</v>
      </c>
      <c r="C9" s="180">
        <f>C10+C11+C49</f>
        <v>908524</v>
      </c>
      <c r="D9" s="180">
        <f>D10+D11+D49</f>
        <v>968190</v>
      </c>
      <c r="E9" s="167">
        <f>D9/C9*100</f>
        <v>106.56735540282921</v>
      </c>
      <c r="F9" s="20"/>
    </row>
    <row r="10" spans="1:7" s="10" customFormat="1" ht="37.5">
      <c r="A10" s="87" t="s">
        <v>5</v>
      </c>
      <c r="B10" s="130" t="s">
        <v>279</v>
      </c>
      <c r="C10" s="180">
        <v>74326</v>
      </c>
      <c r="D10" s="180">
        <v>103492</v>
      </c>
      <c r="E10" s="167">
        <f t="shared" ref="E10:E44" si="0">D10/C10*100</f>
        <v>139.24064257460378</v>
      </c>
    </row>
    <row r="11" spans="1:7" s="10" customFormat="1" ht="37.5">
      <c r="A11" s="87" t="s">
        <v>6</v>
      </c>
      <c r="B11" s="130" t="s">
        <v>280</v>
      </c>
      <c r="C11" s="180">
        <f>C12+C30+C44+C45+C46+C47+C48</f>
        <v>708259</v>
      </c>
      <c r="D11" s="180">
        <f>D12+D30+D44+D45+D46+D47+D48</f>
        <v>717756.5</v>
      </c>
      <c r="E11" s="167">
        <f t="shared" si="0"/>
        <v>101.34096425177795</v>
      </c>
      <c r="F11" s="21"/>
    </row>
    <row r="12" spans="1:7" s="10" customFormat="1" ht="18.75">
      <c r="A12" s="87" t="s">
        <v>16</v>
      </c>
      <c r="B12" s="179" t="s">
        <v>19</v>
      </c>
      <c r="C12" s="180">
        <f>C13+C29+C28</f>
        <v>129409</v>
      </c>
      <c r="D12" s="180">
        <f>D13+D29+D28</f>
        <v>143714</v>
      </c>
      <c r="E12" s="167">
        <f t="shared" si="0"/>
        <v>111.05409979213192</v>
      </c>
    </row>
    <row r="13" spans="1:7" s="12" customFormat="1" ht="18.75">
      <c r="A13" s="157">
        <v>1</v>
      </c>
      <c r="B13" s="177" t="s">
        <v>73</v>
      </c>
      <c r="C13" s="173">
        <v>129409</v>
      </c>
      <c r="D13" s="173">
        <f>SUM(D15:D27)</f>
        <v>141714</v>
      </c>
      <c r="E13" s="176">
        <f t="shared" si="0"/>
        <v>109.50861222944309</v>
      </c>
      <c r="G13" s="22"/>
    </row>
    <row r="14" spans="1:7" s="12" customFormat="1" ht="18.75">
      <c r="A14" s="184"/>
      <c r="B14" s="181" t="s">
        <v>260</v>
      </c>
      <c r="C14" s="182"/>
      <c r="D14" s="182"/>
      <c r="E14" s="183"/>
    </row>
    <row r="15" spans="1:7" s="12" customFormat="1" ht="18.75">
      <c r="A15" s="157" t="s">
        <v>104</v>
      </c>
      <c r="B15" s="177" t="s">
        <v>88</v>
      </c>
      <c r="C15" s="173"/>
      <c r="D15" s="173">
        <v>18372</v>
      </c>
      <c r="E15" s="176"/>
    </row>
    <row r="16" spans="1:7" s="12" customFormat="1" ht="18.75">
      <c r="A16" s="157" t="s">
        <v>105</v>
      </c>
      <c r="B16" s="177" t="s">
        <v>89</v>
      </c>
      <c r="C16" s="173"/>
      <c r="D16" s="173"/>
      <c r="E16" s="176"/>
    </row>
    <row r="17" spans="1:6" s="12" customFormat="1" ht="18.75">
      <c r="A17" s="157" t="s">
        <v>106</v>
      </c>
      <c r="B17" s="172" t="s">
        <v>90</v>
      </c>
      <c r="C17" s="173"/>
      <c r="D17" s="173">
        <v>1</v>
      </c>
      <c r="E17" s="176"/>
    </row>
    <row r="18" spans="1:6" s="23" customFormat="1" ht="18.75">
      <c r="A18" s="157" t="s">
        <v>107</v>
      </c>
      <c r="B18" s="172" t="s">
        <v>91</v>
      </c>
      <c r="C18" s="173"/>
      <c r="D18" s="173">
        <v>1001</v>
      </c>
      <c r="E18" s="176"/>
    </row>
    <row r="19" spans="1:6" s="12" customFormat="1" ht="18.75">
      <c r="A19" s="157" t="s">
        <v>108</v>
      </c>
      <c r="B19" s="172" t="s">
        <v>92</v>
      </c>
      <c r="C19" s="173"/>
      <c r="D19" s="173">
        <v>3</v>
      </c>
      <c r="E19" s="176"/>
    </row>
    <row r="20" spans="1:6" s="12" customFormat="1" ht="18.75">
      <c r="A20" s="157" t="s">
        <v>109</v>
      </c>
      <c r="B20" s="172" t="s">
        <v>93</v>
      </c>
      <c r="C20" s="173"/>
      <c r="D20" s="173">
        <v>15219</v>
      </c>
      <c r="E20" s="176"/>
    </row>
    <row r="21" spans="1:6" s="23" customFormat="1" ht="18.75">
      <c r="A21" s="157" t="s">
        <v>110</v>
      </c>
      <c r="B21" s="172" t="s">
        <v>94</v>
      </c>
      <c r="C21" s="173"/>
      <c r="D21" s="173">
        <v>66</v>
      </c>
      <c r="E21" s="176"/>
    </row>
    <row r="22" spans="1:6" s="12" customFormat="1" ht="18.75">
      <c r="A22" s="157" t="s">
        <v>111</v>
      </c>
      <c r="B22" s="172" t="s">
        <v>95</v>
      </c>
      <c r="C22" s="173"/>
      <c r="D22" s="173">
        <v>0</v>
      </c>
      <c r="E22" s="176"/>
    </row>
    <row r="23" spans="1:6" s="12" customFormat="1" ht="18.75">
      <c r="A23" s="157" t="s">
        <v>112</v>
      </c>
      <c r="B23" s="172" t="s">
        <v>96</v>
      </c>
      <c r="C23" s="173"/>
      <c r="D23" s="173">
        <v>0</v>
      </c>
      <c r="E23" s="176"/>
    </row>
    <row r="24" spans="1:6" s="10" customFormat="1" ht="18.75">
      <c r="A24" s="157" t="s">
        <v>113</v>
      </c>
      <c r="B24" s="172" t="s">
        <v>97</v>
      </c>
      <c r="C24" s="173"/>
      <c r="D24" s="173">
        <v>91936</v>
      </c>
      <c r="E24" s="176"/>
    </row>
    <row r="25" spans="1:6" s="12" customFormat="1" ht="37.5">
      <c r="A25" s="157" t="s">
        <v>114</v>
      </c>
      <c r="B25" s="172" t="s">
        <v>98</v>
      </c>
      <c r="C25" s="173"/>
      <c r="D25" s="173">
        <v>15116</v>
      </c>
      <c r="E25" s="176"/>
    </row>
    <row r="26" spans="1:6" s="10" customFormat="1" ht="18.75">
      <c r="A26" s="157" t="s">
        <v>115</v>
      </c>
      <c r="B26" s="172" t="s">
        <v>99</v>
      </c>
      <c r="C26" s="173"/>
      <c r="D26" s="173"/>
      <c r="E26" s="176"/>
    </row>
    <row r="27" spans="1:6" s="10" customFormat="1" ht="18.75">
      <c r="A27" s="157" t="s">
        <v>116</v>
      </c>
      <c r="B27" s="172" t="s">
        <v>100</v>
      </c>
      <c r="C27" s="173"/>
      <c r="D27" s="173"/>
      <c r="E27" s="176"/>
    </row>
    <row r="28" spans="1:6" s="10" customFormat="1" ht="37.5">
      <c r="A28" s="174">
        <v>2</v>
      </c>
      <c r="B28" s="172" t="s">
        <v>340</v>
      </c>
      <c r="C28" s="182"/>
      <c r="D28" s="173">
        <v>2000</v>
      </c>
      <c r="E28" s="176"/>
    </row>
    <row r="29" spans="1:6" s="24" customFormat="1" ht="93.75">
      <c r="A29" s="157">
        <v>3</v>
      </c>
      <c r="B29" s="178" t="s">
        <v>80</v>
      </c>
      <c r="C29" s="173"/>
      <c r="D29" s="173"/>
      <c r="E29" s="176"/>
    </row>
    <row r="30" spans="1:6" s="10" customFormat="1" ht="18.75">
      <c r="A30" s="87" t="s">
        <v>21</v>
      </c>
      <c r="B30" s="179" t="s">
        <v>18</v>
      </c>
      <c r="C30" s="180">
        <f>SUM(C31:C43)</f>
        <v>560340</v>
      </c>
      <c r="D30" s="180">
        <f>SUM(D31:D43)-D44</f>
        <v>564932</v>
      </c>
      <c r="E30" s="167">
        <f t="shared" si="0"/>
        <v>100.81950244494413</v>
      </c>
      <c r="F30" s="21"/>
    </row>
    <row r="31" spans="1:6" s="12" customFormat="1" ht="18.75">
      <c r="A31" s="174" t="s">
        <v>7</v>
      </c>
      <c r="B31" s="177" t="s">
        <v>88</v>
      </c>
      <c r="C31" s="173">
        <v>312097</v>
      </c>
      <c r="D31" s="173">
        <v>309430.5</v>
      </c>
      <c r="E31" s="176">
        <f t="shared" si="0"/>
        <v>99.145618189216805</v>
      </c>
      <c r="F31" s="22"/>
    </row>
    <row r="32" spans="1:6" s="12" customFormat="1" ht="18.75">
      <c r="A32" s="174" t="s">
        <v>8</v>
      </c>
      <c r="B32" s="177" t="s">
        <v>101</v>
      </c>
      <c r="C32" s="173">
        <v>851</v>
      </c>
      <c r="D32" s="173">
        <v>433</v>
      </c>
      <c r="E32" s="176">
        <f t="shared" si="0"/>
        <v>50.881316098707408</v>
      </c>
      <c r="F32" s="22"/>
    </row>
    <row r="33" spans="1:6" s="12" customFormat="1" ht="18.75">
      <c r="A33" s="174" t="s">
        <v>9</v>
      </c>
      <c r="B33" s="172" t="s">
        <v>90</v>
      </c>
      <c r="C33" s="173">
        <v>8939</v>
      </c>
      <c r="D33" s="173">
        <v>16180</v>
      </c>
      <c r="E33" s="176">
        <f t="shared" si="0"/>
        <v>181.0045866428012</v>
      </c>
      <c r="F33" s="22"/>
    </row>
    <row r="34" spans="1:6" s="23" customFormat="1" ht="18.75">
      <c r="A34" s="174" t="s">
        <v>15</v>
      </c>
      <c r="B34" s="172" t="s">
        <v>91</v>
      </c>
      <c r="C34" s="173">
        <v>1155</v>
      </c>
      <c r="D34" s="173">
        <v>1506</v>
      </c>
      <c r="E34" s="176">
        <f t="shared" si="0"/>
        <v>130.3896103896104</v>
      </c>
      <c r="F34" s="25"/>
    </row>
    <row r="35" spans="1:6" s="12" customFormat="1" ht="18.75">
      <c r="A35" s="174" t="s">
        <v>56</v>
      </c>
      <c r="B35" s="172" t="s">
        <v>92</v>
      </c>
      <c r="C35" s="173"/>
      <c r="D35" s="173">
        <v>8471</v>
      </c>
      <c r="E35" s="176"/>
    </row>
    <row r="36" spans="1:6" s="12" customFormat="1" ht="18.75">
      <c r="A36" s="174" t="s">
        <v>58</v>
      </c>
      <c r="B36" s="172" t="s">
        <v>388</v>
      </c>
      <c r="C36" s="173">
        <v>3243</v>
      </c>
      <c r="D36" s="173">
        <v>4063</v>
      </c>
      <c r="E36" s="176">
        <f t="shared" si="0"/>
        <v>125.28522972556276</v>
      </c>
    </row>
    <row r="37" spans="1:6" s="23" customFormat="1" ht="18.75">
      <c r="A37" s="174" t="s">
        <v>117</v>
      </c>
      <c r="B37" s="172" t="s">
        <v>389</v>
      </c>
      <c r="C37" s="173">
        <v>482</v>
      </c>
      <c r="D37" s="173">
        <v>607</v>
      </c>
      <c r="E37" s="176">
        <f t="shared" si="0"/>
        <v>125.93360995850622</v>
      </c>
    </row>
    <row r="38" spans="1:6" s="12" customFormat="1" ht="18.75">
      <c r="A38" s="174" t="s">
        <v>118</v>
      </c>
      <c r="B38" s="172" t="s">
        <v>390</v>
      </c>
      <c r="C38" s="173">
        <v>1710</v>
      </c>
      <c r="D38" s="173">
        <v>3156</v>
      </c>
      <c r="E38" s="176">
        <f t="shared" si="0"/>
        <v>184.56140350877192</v>
      </c>
    </row>
    <row r="39" spans="1:6" s="12" customFormat="1" ht="18.75">
      <c r="A39" s="174" t="s">
        <v>119</v>
      </c>
      <c r="B39" s="172" t="s">
        <v>96</v>
      </c>
      <c r="C39" s="173">
        <v>10028</v>
      </c>
      <c r="D39" s="173">
        <v>8376</v>
      </c>
      <c r="E39" s="176">
        <f t="shared" si="0"/>
        <v>83.526126844834465</v>
      </c>
    </row>
    <row r="40" spans="1:6" s="10" customFormat="1" ht="18.75">
      <c r="A40" s="174" t="s">
        <v>120</v>
      </c>
      <c r="B40" s="172" t="s">
        <v>97</v>
      </c>
      <c r="C40" s="173">
        <v>69283</v>
      </c>
      <c r="D40" s="173">
        <v>74247</v>
      </c>
      <c r="E40" s="176">
        <f t="shared" si="0"/>
        <v>107.16481676601764</v>
      </c>
    </row>
    <row r="41" spans="1:6" s="12" customFormat="1" ht="37.5">
      <c r="A41" s="174" t="s">
        <v>121</v>
      </c>
      <c r="B41" s="172" t="s">
        <v>98</v>
      </c>
      <c r="C41" s="173">
        <v>46884</v>
      </c>
      <c r="D41" s="173">
        <v>54662</v>
      </c>
      <c r="E41" s="176">
        <f t="shared" si="0"/>
        <v>116.58988140943605</v>
      </c>
    </row>
    <row r="42" spans="1:6" s="10" customFormat="1" ht="18.75">
      <c r="A42" s="174" t="s">
        <v>122</v>
      </c>
      <c r="B42" s="172" t="s">
        <v>99</v>
      </c>
      <c r="C42" s="173">
        <v>86565</v>
      </c>
      <c r="D42" s="173">
        <v>84377</v>
      </c>
      <c r="E42" s="176">
        <f t="shared" si="0"/>
        <v>97.472419569109917</v>
      </c>
    </row>
    <row r="43" spans="1:6" s="10" customFormat="1" ht="18.75">
      <c r="A43" s="174" t="s">
        <v>123</v>
      </c>
      <c r="B43" s="172" t="s">
        <v>102</v>
      </c>
      <c r="C43" s="173">
        <v>19103</v>
      </c>
      <c r="D43" s="173">
        <v>7945</v>
      </c>
      <c r="E43" s="176">
        <f t="shared" si="0"/>
        <v>41.590326126786373</v>
      </c>
    </row>
    <row r="44" spans="1:6" s="10" customFormat="1" ht="18.75">
      <c r="A44" s="87" t="s">
        <v>24</v>
      </c>
      <c r="B44" s="179" t="s">
        <v>57</v>
      </c>
      <c r="C44" s="180">
        <v>9757</v>
      </c>
      <c r="D44" s="180">
        <v>8521.5</v>
      </c>
      <c r="E44" s="176">
        <f t="shared" si="0"/>
        <v>87.337296300092234</v>
      </c>
    </row>
    <row r="45" spans="1:6" s="10" customFormat="1" ht="18.75">
      <c r="A45" s="87" t="s">
        <v>46</v>
      </c>
      <c r="B45" s="179" t="s">
        <v>20</v>
      </c>
      <c r="C45" s="180">
        <v>4510</v>
      </c>
      <c r="D45" s="180"/>
      <c r="E45" s="176"/>
    </row>
    <row r="46" spans="1:6" s="10" customFormat="1" ht="18.75">
      <c r="A46" s="87" t="s">
        <v>47</v>
      </c>
      <c r="B46" s="179" t="s">
        <v>261</v>
      </c>
      <c r="C46" s="180">
        <v>4243</v>
      </c>
      <c r="D46" s="180"/>
      <c r="E46" s="167"/>
    </row>
    <row r="47" spans="1:6" s="10" customFormat="1" ht="18.75">
      <c r="A47" s="87" t="s">
        <v>55</v>
      </c>
      <c r="B47" s="179" t="s">
        <v>321</v>
      </c>
      <c r="C47" s="180">
        <v>0</v>
      </c>
      <c r="D47" s="167">
        <v>0</v>
      </c>
      <c r="E47" s="167"/>
    </row>
    <row r="48" spans="1:6" s="10" customFormat="1" ht="18.75">
      <c r="A48" s="87" t="s">
        <v>287</v>
      </c>
      <c r="B48" s="179" t="s">
        <v>59</v>
      </c>
      <c r="C48" s="180"/>
      <c r="D48" s="180">
        <v>589</v>
      </c>
      <c r="E48" s="167"/>
    </row>
    <row r="49" spans="1:5" s="10" customFormat="1" ht="37.5">
      <c r="A49" s="87" t="s">
        <v>48</v>
      </c>
      <c r="B49" s="130" t="s">
        <v>270</v>
      </c>
      <c r="C49" s="180">
        <v>125939</v>
      </c>
      <c r="D49" s="180">
        <v>146941.5</v>
      </c>
      <c r="E49" s="167"/>
    </row>
  </sheetData>
  <mergeCells count="10">
    <mergeCell ref="A1:B1"/>
    <mergeCell ref="E5:E7"/>
    <mergeCell ref="D1:E1"/>
    <mergeCell ref="A2:E2"/>
    <mergeCell ref="A3:E3"/>
    <mergeCell ref="D4:E4"/>
    <mergeCell ref="A5:A7"/>
    <mergeCell ref="B5:B7"/>
    <mergeCell ref="C5:C7"/>
    <mergeCell ref="D5:D7"/>
  </mergeCells>
  <printOptions horizontalCentered="1"/>
  <pageMargins left="0.2" right="0.25" top="0.35" bottom="0.5" header="0.16" footer="0.3"/>
  <pageSetup paperSize="9" scale="90" orientation="portrait" verticalDpi="0" r:id="rId1"/>
  <headerFooter>
    <oddFooter>&amp;F&amp;RPage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9"/>
  <sheetViews>
    <sheetView zoomScale="110" zoomScaleNormal="110" workbookViewId="0">
      <selection sqref="A1:C1"/>
    </sheetView>
  </sheetViews>
  <sheetFormatPr defaultColWidth="9.140625" defaultRowHeight="15.75"/>
  <cols>
    <col min="1" max="1" width="6.7109375" style="8" customWidth="1"/>
    <col min="2" max="2" width="39.42578125" style="8" customWidth="1"/>
    <col min="3" max="3" width="11.28515625" style="8" customWidth="1"/>
    <col min="4" max="4" width="11.5703125" style="8" customWidth="1"/>
    <col min="5" max="5" width="12.42578125" style="8" customWidth="1"/>
    <col min="6" max="6" width="12.7109375" style="27" bestFit="1" customWidth="1"/>
    <col min="7" max="7" width="11.28515625" style="8" customWidth="1"/>
    <col min="8" max="8" width="12.7109375" style="27" customWidth="1"/>
    <col min="9" max="10" width="10.28515625" style="8" customWidth="1"/>
    <col min="11" max="11" width="10.85546875" style="27" bestFit="1" customWidth="1"/>
    <col min="12" max="12" width="12.42578125" style="27" customWidth="1"/>
    <col min="13" max="13" width="14.5703125" style="60" bestFit="1" customWidth="1"/>
    <col min="14" max="14" width="12.7109375" style="60" customWidth="1"/>
    <col min="15" max="15" width="10.7109375" style="60" customWidth="1"/>
    <col min="16" max="16" width="11.7109375" style="8" bestFit="1" customWidth="1"/>
    <col min="17" max="17" width="11.140625" style="8" customWidth="1"/>
    <col min="18" max="16384" width="9.140625" style="8"/>
  </cols>
  <sheetData>
    <row r="1" spans="1:17">
      <c r="A1" s="100"/>
      <c r="B1" s="100"/>
      <c r="C1" s="100"/>
      <c r="D1" s="6"/>
      <c r="E1" s="6"/>
      <c r="F1" s="26"/>
      <c r="G1" s="6"/>
      <c r="H1" s="26"/>
      <c r="I1" s="6"/>
      <c r="J1" s="14"/>
      <c r="K1" s="53"/>
      <c r="L1" s="53"/>
      <c r="M1" s="72"/>
      <c r="N1" s="72"/>
      <c r="O1" s="103" t="s">
        <v>224</v>
      </c>
      <c r="P1" s="103"/>
      <c r="Q1" s="103"/>
    </row>
    <row r="2" spans="1:17" ht="20.25" customHeight="1">
      <c r="A2" s="106" t="s">
        <v>401</v>
      </c>
      <c r="B2" s="106"/>
      <c r="C2" s="106"/>
      <c r="D2" s="106"/>
      <c r="E2" s="106"/>
      <c r="F2" s="106"/>
      <c r="G2" s="106"/>
      <c r="H2" s="106"/>
      <c r="I2" s="106"/>
      <c r="J2" s="106"/>
      <c r="K2" s="106"/>
      <c r="L2" s="106"/>
      <c r="M2" s="106"/>
      <c r="N2" s="106"/>
      <c r="O2" s="106"/>
      <c r="P2" s="106"/>
      <c r="Q2" s="106"/>
    </row>
    <row r="3" spans="1:17" ht="18.75">
      <c r="A3" s="98" t="str">
        <f>'BIEU 96'!A3:E3</f>
        <v>(Đính kèm Quyết định số:         /QĐ-UBND ngày      /7/2024 của UBND huyện Phụng Hiệp)</v>
      </c>
      <c r="B3" s="98"/>
      <c r="C3" s="98"/>
      <c r="D3" s="98"/>
      <c r="E3" s="98"/>
      <c r="F3" s="98"/>
      <c r="G3" s="98"/>
      <c r="H3" s="98"/>
      <c r="I3" s="98"/>
      <c r="J3" s="98"/>
      <c r="K3" s="98"/>
      <c r="L3" s="98"/>
      <c r="M3" s="98"/>
      <c r="N3" s="98"/>
      <c r="O3" s="98"/>
      <c r="P3" s="98"/>
      <c r="Q3" s="98"/>
    </row>
    <row r="4" spans="1:17" ht="18.75">
      <c r="A4" s="9"/>
      <c r="B4" s="9"/>
      <c r="C4" s="54"/>
      <c r="D4" s="27"/>
      <c r="E4" s="66"/>
      <c r="I4" s="55"/>
      <c r="J4" s="55"/>
      <c r="K4" s="56"/>
      <c r="L4" s="56"/>
      <c r="M4" s="59"/>
      <c r="N4" s="59"/>
      <c r="O4" s="61" t="s">
        <v>26</v>
      </c>
    </row>
    <row r="5" spans="1:17" ht="25.9" customHeight="1">
      <c r="A5" s="104" t="s">
        <v>124</v>
      </c>
      <c r="B5" s="96" t="s">
        <v>125</v>
      </c>
      <c r="C5" s="104" t="s">
        <v>329</v>
      </c>
      <c r="D5" s="104"/>
      <c r="E5" s="104"/>
      <c r="F5" s="104" t="s">
        <v>2</v>
      </c>
      <c r="G5" s="104"/>
      <c r="H5" s="104"/>
      <c r="I5" s="104"/>
      <c r="J5" s="104"/>
      <c r="K5" s="104"/>
      <c r="L5" s="104"/>
      <c r="M5" s="104"/>
      <c r="N5" s="104"/>
      <c r="O5" s="96" t="s">
        <v>3</v>
      </c>
      <c r="P5" s="96"/>
      <c r="Q5" s="96"/>
    </row>
    <row r="6" spans="1:17" ht="18.75" customHeight="1">
      <c r="A6" s="96"/>
      <c r="B6" s="96"/>
      <c r="C6" s="104" t="s">
        <v>126</v>
      </c>
      <c r="D6" s="104" t="s">
        <v>330</v>
      </c>
      <c r="E6" s="104" t="s">
        <v>331</v>
      </c>
      <c r="F6" s="104" t="s">
        <v>126</v>
      </c>
      <c r="G6" s="104" t="s">
        <v>330</v>
      </c>
      <c r="H6" s="104" t="s">
        <v>331</v>
      </c>
      <c r="I6" s="104" t="s">
        <v>332</v>
      </c>
      <c r="J6" s="104" t="s">
        <v>333</v>
      </c>
      <c r="K6" s="96" t="s">
        <v>127</v>
      </c>
      <c r="L6" s="96"/>
      <c r="M6" s="96"/>
      <c r="N6" s="105" t="s">
        <v>128</v>
      </c>
      <c r="O6" s="104" t="s">
        <v>126</v>
      </c>
      <c r="P6" s="104" t="s">
        <v>19</v>
      </c>
      <c r="Q6" s="104" t="s">
        <v>18</v>
      </c>
    </row>
    <row r="7" spans="1:17" ht="16.5" customHeight="1">
      <c r="A7" s="96"/>
      <c r="B7" s="96"/>
      <c r="C7" s="104"/>
      <c r="D7" s="104"/>
      <c r="E7" s="104"/>
      <c r="F7" s="104"/>
      <c r="G7" s="104"/>
      <c r="H7" s="104"/>
      <c r="I7" s="104"/>
      <c r="J7" s="104"/>
      <c r="K7" s="104" t="s">
        <v>126</v>
      </c>
      <c r="L7" s="104" t="s">
        <v>19</v>
      </c>
      <c r="M7" s="104" t="s">
        <v>18</v>
      </c>
      <c r="N7" s="105"/>
      <c r="O7" s="104"/>
      <c r="P7" s="104"/>
      <c r="Q7" s="104"/>
    </row>
    <row r="8" spans="1:17" ht="16.5" customHeight="1">
      <c r="A8" s="96"/>
      <c r="B8" s="96"/>
      <c r="C8" s="104"/>
      <c r="D8" s="104"/>
      <c r="E8" s="104"/>
      <c r="F8" s="104"/>
      <c r="G8" s="104"/>
      <c r="H8" s="104"/>
      <c r="I8" s="104"/>
      <c r="J8" s="104"/>
      <c r="K8" s="104"/>
      <c r="L8" s="104"/>
      <c r="M8" s="104"/>
      <c r="N8" s="105"/>
      <c r="O8" s="104"/>
      <c r="P8" s="104"/>
      <c r="Q8" s="104"/>
    </row>
    <row r="9" spans="1:17" ht="105.75" customHeight="1">
      <c r="A9" s="96"/>
      <c r="B9" s="96"/>
      <c r="C9" s="104"/>
      <c r="D9" s="104"/>
      <c r="E9" s="104"/>
      <c r="F9" s="104"/>
      <c r="G9" s="104"/>
      <c r="H9" s="104"/>
      <c r="I9" s="104"/>
      <c r="J9" s="104"/>
      <c r="K9" s="104"/>
      <c r="L9" s="104"/>
      <c r="M9" s="104"/>
      <c r="N9" s="105"/>
      <c r="O9" s="104"/>
      <c r="P9" s="104"/>
      <c r="Q9" s="104"/>
    </row>
    <row r="10" spans="1:17" s="185" customFormat="1" ht="15">
      <c r="A10" s="77" t="s">
        <v>5</v>
      </c>
      <c r="B10" s="77" t="s">
        <v>6</v>
      </c>
      <c r="C10" s="77">
        <v>1</v>
      </c>
      <c r="D10" s="77">
        <f>C10+1</f>
        <v>2</v>
      </c>
      <c r="E10" s="77">
        <f t="shared" ref="E10:N10" si="0">D10+1</f>
        <v>3</v>
      </c>
      <c r="F10" s="77">
        <f t="shared" si="0"/>
        <v>4</v>
      </c>
      <c r="G10" s="77">
        <f t="shared" si="0"/>
        <v>5</v>
      </c>
      <c r="H10" s="77">
        <f t="shared" si="0"/>
        <v>6</v>
      </c>
      <c r="I10" s="77">
        <f t="shared" si="0"/>
        <v>7</v>
      </c>
      <c r="J10" s="77">
        <f t="shared" si="0"/>
        <v>8</v>
      </c>
      <c r="K10" s="77">
        <f t="shared" si="0"/>
        <v>9</v>
      </c>
      <c r="L10" s="77">
        <f t="shared" si="0"/>
        <v>10</v>
      </c>
      <c r="M10" s="77">
        <f t="shared" si="0"/>
        <v>11</v>
      </c>
      <c r="N10" s="78">
        <f t="shared" si="0"/>
        <v>12</v>
      </c>
      <c r="O10" s="79" t="s">
        <v>334</v>
      </c>
      <c r="P10" s="79" t="s">
        <v>335</v>
      </c>
      <c r="Q10" s="77" t="s">
        <v>336</v>
      </c>
    </row>
    <row r="11" spans="1:17" s="10" customFormat="1" ht="18.75">
      <c r="A11" s="46"/>
      <c r="B11" s="87" t="s">
        <v>129</v>
      </c>
      <c r="C11" s="180">
        <f t="shared" ref="C11:N11" si="1">C12+C118+C134+C135+C136+C137+C138+C139</f>
        <v>930698.25148400012</v>
      </c>
      <c r="D11" s="180">
        <f t="shared" si="1"/>
        <v>145350.78101100001</v>
      </c>
      <c r="E11" s="180">
        <f t="shared" si="1"/>
        <v>785347.47047300008</v>
      </c>
      <c r="F11" s="180">
        <f t="shared" si="1"/>
        <v>1138254.809222</v>
      </c>
      <c r="G11" s="180">
        <f t="shared" si="1"/>
        <v>120608.64442900002</v>
      </c>
      <c r="H11" s="180">
        <f t="shared" si="1"/>
        <v>775678.80108499993</v>
      </c>
      <c r="I11" s="180">
        <f t="shared" si="1"/>
        <v>0</v>
      </c>
      <c r="J11" s="180">
        <f t="shared" si="1"/>
        <v>0</v>
      </c>
      <c r="K11" s="180">
        <f t="shared" si="1"/>
        <v>44916.387534000001</v>
      </c>
      <c r="L11" s="180">
        <f t="shared" si="1"/>
        <v>23105.648143999995</v>
      </c>
      <c r="M11" s="167">
        <f t="shared" si="1"/>
        <v>21810.739390000002</v>
      </c>
      <c r="N11" s="131">
        <f t="shared" si="1"/>
        <v>197050.97617400001</v>
      </c>
      <c r="O11" s="167">
        <f>F11/C11*100</f>
        <v>122.30116553964191</v>
      </c>
      <c r="P11" s="167">
        <f>G11/D11*100</f>
        <v>82.977637677689856</v>
      </c>
      <c r="Q11" s="167">
        <f>H11/E11*100</f>
        <v>98.768867316504256</v>
      </c>
    </row>
    <row r="12" spans="1:17" s="13" customFormat="1" ht="18.75">
      <c r="A12" s="46" t="s">
        <v>16</v>
      </c>
      <c r="B12" s="179" t="s">
        <v>130</v>
      </c>
      <c r="C12" s="180">
        <f>C13+C14</f>
        <v>739584.95148400008</v>
      </c>
      <c r="D12" s="180">
        <f t="shared" ref="D12:L12" si="2">D13+D14</f>
        <v>145350.78101100001</v>
      </c>
      <c r="E12" s="180">
        <f t="shared" si="2"/>
        <v>594234.17047300003</v>
      </c>
      <c r="F12" s="180">
        <f>F13+F14</f>
        <v>761454.15057399985</v>
      </c>
      <c r="G12" s="180">
        <f>G13+G14</f>
        <v>120608.64442900002</v>
      </c>
      <c r="H12" s="180">
        <f t="shared" si="2"/>
        <v>564626.72084899992</v>
      </c>
      <c r="I12" s="180">
        <f t="shared" si="2"/>
        <v>0</v>
      </c>
      <c r="J12" s="180">
        <f t="shared" si="2"/>
        <v>0</v>
      </c>
      <c r="K12" s="180">
        <f>K13+K14</f>
        <v>31932.850533999997</v>
      </c>
      <c r="L12" s="180">
        <f t="shared" si="2"/>
        <v>23105.648143999995</v>
      </c>
      <c r="M12" s="180">
        <f>M13+M14</f>
        <v>8827.2023900000004</v>
      </c>
      <c r="N12" s="131">
        <f>N13+N14</f>
        <v>44285.934762000004</v>
      </c>
      <c r="O12" s="167">
        <f t="shared" ref="O12:O118" si="3">F12/C12*100</f>
        <v>102.95695566089043</v>
      </c>
      <c r="P12" s="167">
        <f>G12/D12*100</f>
        <v>82.977637677689856</v>
      </c>
      <c r="Q12" s="167">
        <f t="shared" ref="Q12:Q118" si="4">H12/E12*100</f>
        <v>95.017545086571999</v>
      </c>
    </row>
    <row r="13" spans="1:17" s="13" customFormat="1" ht="18.75">
      <c r="A13" s="46">
        <v>1</v>
      </c>
      <c r="B13" s="179" t="s">
        <v>19</v>
      </c>
      <c r="C13" s="180">
        <f>D13+E13</f>
        <v>145350.78101100001</v>
      </c>
      <c r="D13" s="180">
        <f>'[2]Bieu 57'!C14-23155.52</f>
        <v>145350.78101100001</v>
      </c>
      <c r="E13" s="180"/>
      <c r="F13" s="180">
        <f>G13+H13+I13+J13+K13+N13</f>
        <v>167564.912553</v>
      </c>
      <c r="G13" s="180">
        <f>'[2]Bieu 57'!G14-K13</f>
        <v>120608.64442900002</v>
      </c>
      <c r="H13" s="180"/>
      <c r="I13" s="180"/>
      <c r="J13" s="180"/>
      <c r="K13" s="180">
        <f>L13+M13</f>
        <v>23105.648143999995</v>
      </c>
      <c r="L13" s="180">
        <f>'[2]Bieu 61'!G16</f>
        <v>23105.648143999995</v>
      </c>
      <c r="M13" s="180"/>
      <c r="N13" s="131">
        <f>'[2]Bieu 57'!I14</f>
        <v>23850.619979999999</v>
      </c>
      <c r="O13" s="167">
        <f t="shared" si="3"/>
        <v>115.28311811432155</v>
      </c>
      <c r="P13" s="167">
        <f>G13/D13*100</f>
        <v>82.977637677689856</v>
      </c>
      <c r="Q13" s="167"/>
    </row>
    <row r="14" spans="1:17" s="13" customFormat="1" ht="18.75">
      <c r="A14" s="46">
        <v>2</v>
      </c>
      <c r="B14" s="179" t="s">
        <v>18</v>
      </c>
      <c r="C14" s="180">
        <f>C15+C21+C22+C23+C26+C35+C41+C48+C52+C55+C58+C61+C73+C77+C85+C88+C91+C92+C93+C94+C95+C96+C97+C98+C99+C100+C101+C102+C103+C106+C107+C108+C111+C115+C116+C117</f>
        <v>594234.17047300003</v>
      </c>
      <c r="D14" s="180">
        <f t="shared" ref="D14:N14" si="5">D15+D21+D22+D23+D26+D35+D41+D48+D52+D55+D58+D61+D73+D77+D85+D88+D91+D92+D93+D94+D95+D96+D97+D98+D99+D100+D101+D102+D103+D106+D107+D108+D111+D115+D116+D117</f>
        <v>0</v>
      </c>
      <c r="E14" s="180">
        <f t="shared" si="5"/>
        <v>594234.17047300003</v>
      </c>
      <c r="F14" s="180">
        <f t="shared" si="5"/>
        <v>593889.23802099982</v>
      </c>
      <c r="G14" s="180">
        <f t="shared" si="5"/>
        <v>0</v>
      </c>
      <c r="H14" s="180">
        <f t="shared" si="5"/>
        <v>564626.72084899992</v>
      </c>
      <c r="I14" s="180">
        <f t="shared" si="5"/>
        <v>0</v>
      </c>
      <c r="J14" s="180">
        <f t="shared" si="5"/>
        <v>0</v>
      </c>
      <c r="K14" s="180">
        <f t="shared" si="5"/>
        <v>8827.2023900000004</v>
      </c>
      <c r="L14" s="180">
        <f t="shared" si="5"/>
        <v>0</v>
      </c>
      <c r="M14" s="180">
        <f t="shared" si="5"/>
        <v>8827.2023900000004</v>
      </c>
      <c r="N14" s="180">
        <f t="shared" si="5"/>
        <v>20435.314782000001</v>
      </c>
      <c r="O14" s="167">
        <f t="shared" si="3"/>
        <v>99.941953447119062</v>
      </c>
      <c r="P14" s="167"/>
      <c r="Q14" s="167">
        <f t="shared" si="4"/>
        <v>95.017545086571999</v>
      </c>
    </row>
    <row r="15" spans="1:17" s="13" customFormat="1" ht="18.75">
      <c r="A15" s="48" t="s">
        <v>131</v>
      </c>
      <c r="B15" s="186" t="s">
        <v>345</v>
      </c>
      <c r="C15" s="173">
        <f>SUM(C16:C20)</f>
        <v>6789.8850000000002</v>
      </c>
      <c r="D15" s="173">
        <f t="shared" ref="D15:N15" si="6">SUM(D16:D20)</f>
        <v>0</v>
      </c>
      <c r="E15" s="173">
        <f t="shared" si="6"/>
        <v>6789.8850000000002</v>
      </c>
      <c r="F15" s="173">
        <f t="shared" si="6"/>
        <v>6643.10322</v>
      </c>
      <c r="G15" s="173">
        <f t="shared" si="6"/>
        <v>0</v>
      </c>
      <c r="H15" s="173">
        <f t="shared" si="6"/>
        <v>6584.376475</v>
      </c>
      <c r="I15" s="173">
        <f t="shared" si="6"/>
        <v>0</v>
      </c>
      <c r="J15" s="173">
        <f t="shared" si="6"/>
        <v>0</v>
      </c>
      <c r="K15" s="173">
        <f t="shared" si="6"/>
        <v>0</v>
      </c>
      <c r="L15" s="173">
        <f t="shared" si="6"/>
        <v>0</v>
      </c>
      <c r="M15" s="173">
        <f t="shared" si="6"/>
        <v>0</v>
      </c>
      <c r="N15" s="173">
        <f t="shared" si="6"/>
        <v>58.726745000000001</v>
      </c>
      <c r="O15" s="176">
        <f t="shared" si="3"/>
        <v>97.838228777070597</v>
      </c>
      <c r="P15" s="176"/>
      <c r="Q15" s="176">
        <f t="shared" si="4"/>
        <v>96.973313612822594</v>
      </c>
    </row>
    <row r="16" spans="1:17" s="13" customFormat="1" ht="18.75">
      <c r="A16" s="48"/>
      <c r="B16" s="83" t="s">
        <v>288</v>
      </c>
      <c r="C16" s="173">
        <f t="shared" ref="C16:C124" si="7">D16+E16</f>
        <v>2044.3679999999999</v>
      </c>
      <c r="D16" s="173"/>
      <c r="E16" s="173">
        <f>'[2]Bieu 57'!C17</f>
        <v>2044.3679999999999</v>
      </c>
      <c r="F16" s="173">
        <f>G16+H16+I16+J16+K16+N16</f>
        <v>1983.386624</v>
      </c>
      <c r="G16" s="173"/>
      <c r="H16" s="173">
        <f>'[2]Bieu 57'!G17</f>
        <v>1970.6553979999999</v>
      </c>
      <c r="I16" s="173"/>
      <c r="J16" s="173"/>
      <c r="K16" s="173"/>
      <c r="L16" s="173"/>
      <c r="M16" s="173"/>
      <c r="N16" s="187">
        <f>'[2]Bieu 57'!I17</f>
        <v>12.731225999999999</v>
      </c>
      <c r="O16" s="176">
        <f>F16/C16*100</f>
        <v>97.017103769967051</v>
      </c>
      <c r="P16" s="176"/>
      <c r="Q16" s="176">
        <f t="shared" si="4"/>
        <v>96.394357473801193</v>
      </c>
    </row>
    <row r="17" spans="1:17" s="13" customFormat="1" ht="18.75">
      <c r="A17" s="48"/>
      <c r="B17" s="83" t="s">
        <v>289</v>
      </c>
      <c r="C17" s="173">
        <f t="shared" si="7"/>
        <v>861.70100000000002</v>
      </c>
      <c r="D17" s="173"/>
      <c r="E17" s="173">
        <f>'[2]Bieu 57'!C18</f>
        <v>861.70100000000002</v>
      </c>
      <c r="F17" s="173">
        <f t="shared" ref="F17:F20" si="8">G17+H17+I17+J17+K17+N17</f>
        <v>862.09793500000001</v>
      </c>
      <c r="G17" s="173"/>
      <c r="H17" s="173">
        <f>'[2]Bieu 57'!G18</f>
        <v>845.61101199999996</v>
      </c>
      <c r="I17" s="173"/>
      <c r="J17" s="173"/>
      <c r="K17" s="173"/>
      <c r="L17" s="173"/>
      <c r="M17" s="173"/>
      <c r="N17" s="187">
        <f>'[2]Bieu 57'!I18</f>
        <v>16.486923000000001</v>
      </c>
      <c r="O17" s="176">
        <f t="shared" si="3"/>
        <v>100.04606412200985</v>
      </c>
      <c r="P17" s="176"/>
      <c r="Q17" s="176">
        <f t="shared" si="4"/>
        <v>98.132764381148434</v>
      </c>
    </row>
    <row r="18" spans="1:17" s="13" customFormat="1" ht="18.75">
      <c r="A18" s="48"/>
      <c r="B18" s="83" t="s">
        <v>290</v>
      </c>
      <c r="C18" s="173">
        <f t="shared" si="7"/>
        <v>623.05799999999999</v>
      </c>
      <c r="D18" s="173"/>
      <c r="E18" s="173">
        <f>'[2]Bieu 57'!C19</f>
        <v>623.05799999999999</v>
      </c>
      <c r="F18" s="173">
        <f t="shared" si="8"/>
        <v>611.916606</v>
      </c>
      <c r="G18" s="173"/>
      <c r="H18" s="173">
        <f>'[2]Bieu 57'!G19</f>
        <v>606.96966799999996</v>
      </c>
      <c r="I18" s="173"/>
      <c r="J18" s="173"/>
      <c r="K18" s="173"/>
      <c r="L18" s="173"/>
      <c r="M18" s="173"/>
      <c r="N18" s="187">
        <f>'[2]Bieu 57'!I19</f>
        <v>4.9469380000000003</v>
      </c>
      <c r="O18" s="176">
        <f>F18/C18*100</f>
        <v>98.211820729370302</v>
      </c>
      <c r="P18" s="176"/>
      <c r="Q18" s="176">
        <f t="shared" si="4"/>
        <v>97.417843603645238</v>
      </c>
    </row>
    <row r="19" spans="1:17" s="13" customFormat="1" ht="18.75">
      <c r="A19" s="48"/>
      <c r="B19" s="186" t="s">
        <v>346</v>
      </c>
      <c r="C19" s="173">
        <f t="shared" si="7"/>
        <v>3255.4580000000001</v>
      </c>
      <c r="D19" s="173"/>
      <c r="E19" s="173">
        <f>'[2]Bieu 57'!C20</f>
        <v>3255.4580000000001</v>
      </c>
      <c r="F19" s="173">
        <f t="shared" si="8"/>
        <v>3180.402055</v>
      </c>
      <c r="G19" s="173"/>
      <c r="H19" s="173">
        <f>'[2]Bieu 57'!G20</f>
        <v>3155.8403969999999</v>
      </c>
      <c r="I19" s="173"/>
      <c r="J19" s="173"/>
      <c r="K19" s="173"/>
      <c r="L19" s="173"/>
      <c r="M19" s="173"/>
      <c r="N19" s="187">
        <f>'[2]Bieu 57'!I20</f>
        <v>24.561658000000001</v>
      </c>
      <c r="O19" s="176">
        <f t="shared" si="3"/>
        <v>97.69445819912282</v>
      </c>
      <c r="P19" s="176"/>
      <c r="Q19" s="176">
        <f t="shared" si="4"/>
        <v>96.939981931881775</v>
      </c>
    </row>
    <row r="20" spans="1:17" s="13" customFormat="1" ht="18.75">
      <c r="A20" s="48"/>
      <c r="B20" s="186" t="s">
        <v>323</v>
      </c>
      <c r="C20" s="173">
        <f t="shared" si="7"/>
        <v>5.3</v>
      </c>
      <c r="D20" s="173"/>
      <c r="E20" s="173">
        <f>'[2]Bieu 57'!C21</f>
        <v>5.3</v>
      </c>
      <c r="F20" s="173">
        <f t="shared" si="8"/>
        <v>5.3</v>
      </c>
      <c r="G20" s="173"/>
      <c r="H20" s="173">
        <f>'[2]Bieu 57'!G21</f>
        <v>5.3</v>
      </c>
      <c r="I20" s="173"/>
      <c r="J20" s="173"/>
      <c r="K20" s="173"/>
      <c r="L20" s="173"/>
      <c r="M20" s="173"/>
      <c r="N20" s="187">
        <f>'[2]Bieu 57'!I21</f>
        <v>0</v>
      </c>
      <c r="O20" s="176">
        <f t="shared" si="3"/>
        <v>100</v>
      </c>
      <c r="P20" s="176"/>
      <c r="Q20" s="176">
        <f t="shared" si="4"/>
        <v>100</v>
      </c>
    </row>
    <row r="21" spans="1:17" s="13" customFormat="1" ht="18.75">
      <c r="A21" s="48" t="s">
        <v>132</v>
      </c>
      <c r="B21" s="188" t="s">
        <v>134</v>
      </c>
      <c r="C21" s="173">
        <f t="shared" si="7"/>
        <v>4824.9639999999999</v>
      </c>
      <c r="D21" s="173"/>
      <c r="E21" s="173">
        <f>'[2]Bieu 57'!C22</f>
        <v>4824.9639999999999</v>
      </c>
      <c r="F21" s="173">
        <f>G21+H21+I21+J21+K21+N21</f>
        <v>3524.2774799999997</v>
      </c>
      <c r="G21" s="173"/>
      <c r="H21" s="173">
        <f>'[2]Bieu 57'!G22</f>
        <v>3523.1057479999999</v>
      </c>
      <c r="I21" s="173"/>
      <c r="J21" s="173"/>
      <c r="K21" s="173">
        <f t="shared" ref="K21:K122" si="9">L21+M21</f>
        <v>0</v>
      </c>
      <c r="L21" s="173"/>
      <c r="M21" s="173"/>
      <c r="N21" s="187">
        <f>'[2]Bieu 57'!I22</f>
        <v>1.171732</v>
      </c>
      <c r="O21" s="176">
        <f t="shared" si="3"/>
        <v>73.042565291678855</v>
      </c>
      <c r="P21" s="176"/>
      <c r="Q21" s="176">
        <f>H21/E21*100</f>
        <v>73.018280509450435</v>
      </c>
    </row>
    <row r="22" spans="1:17" s="13" customFormat="1" ht="18.75">
      <c r="A22" s="48" t="s">
        <v>133</v>
      </c>
      <c r="B22" s="188" t="s">
        <v>136</v>
      </c>
      <c r="C22" s="173">
        <f t="shared" si="7"/>
        <v>3341.5369999999998</v>
      </c>
      <c r="D22" s="173"/>
      <c r="E22" s="173">
        <f>'[2]Bieu 57'!C23</f>
        <v>3341.5369999999998</v>
      </c>
      <c r="F22" s="173">
        <f t="shared" ref="F22:F25" si="10">G22+H22+I22+J22+K22+N22</f>
        <v>3340.0372579999998</v>
      </c>
      <c r="G22" s="173"/>
      <c r="H22" s="173">
        <f>'[2]Bieu 57'!G23</f>
        <v>3299.2834819999998</v>
      </c>
      <c r="I22" s="173"/>
      <c r="J22" s="173"/>
      <c r="K22" s="173">
        <f t="shared" si="9"/>
        <v>0</v>
      </c>
      <c r="L22" s="173"/>
      <c r="M22" s="173"/>
      <c r="N22" s="187">
        <f>'[2]Bieu 57'!I23</f>
        <v>40.753776000000002</v>
      </c>
      <c r="O22" s="176">
        <f t="shared" si="3"/>
        <v>99.955118198601426</v>
      </c>
      <c r="P22" s="176"/>
      <c r="Q22" s="176">
        <f>H22/E22*100</f>
        <v>98.735506504940702</v>
      </c>
    </row>
    <row r="23" spans="1:17" s="13" customFormat="1" ht="18.75">
      <c r="A23" s="48" t="s">
        <v>135</v>
      </c>
      <c r="B23" s="188" t="s">
        <v>138</v>
      </c>
      <c r="C23" s="173">
        <f>SUM(C24:C25)</f>
        <v>9889.0390000000007</v>
      </c>
      <c r="D23" s="173">
        <f t="shared" ref="D23:N23" si="11">SUM(D24:D25)</f>
        <v>0</v>
      </c>
      <c r="E23" s="173">
        <f t="shared" si="11"/>
        <v>9889.0390000000007</v>
      </c>
      <c r="F23" s="173">
        <f t="shared" si="11"/>
        <v>9853.335212</v>
      </c>
      <c r="G23" s="173">
        <f t="shared" si="11"/>
        <v>0</v>
      </c>
      <c r="H23" s="173">
        <f t="shared" si="11"/>
        <v>9852.2101000000002</v>
      </c>
      <c r="I23" s="173">
        <f t="shared" si="11"/>
        <v>0</v>
      </c>
      <c r="J23" s="173">
        <f t="shared" si="11"/>
        <v>0</v>
      </c>
      <c r="K23" s="173">
        <f t="shared" si="11"/>
        <v>0</v>
      </c>
      <c r="L23" s="173">
        <f t="shared" si="11"/>
        <v>0</v>
      </c>
      <c r="M23" s="173">
        <f t="shared" si="11"/>
        <v>0</v>
      </c>
      <c r="N23" s="173">
        <f t="shared" si="11"/>
        <v>1.1251119999999999</v>
      </c>
      <c r="O23" s="176">
        <f>F23/C23*100</f>
        <v>99.63895593899467</v>
      </c>
      <c r="P23" s="176"/>
      <c r="Q23" s="176">
        <f t="shared" si="4"/>
        <v>99.62757857462185</v>
      </c>
    </row>
    <row r="24" spans="1:17" s="15" customFormat="1" ht="19.5">
      <c r="A24" s="48"/>
      <c r="B24" s="188" t="s">
        <v>144</v>
      </c>
      <c r="C24" s="173">
        <f>D24+E24</f>
        <v>9842.3160000000007</v>
      </c>
      <c r="D24" s="173"/>
      <c r="E24" s="173">
        <f>'[2]Bieu 57'!C25</f>
        <v>9842.3160000000007</v>
      </c>
      <c r="F24" s="173">
        <f t="shared" si="10"/>
        <v>9806.6127120000001</v>
      </c>
      <c r="G24" s="173"/>
      <c r="H24" s="173">
        <f>'[2]Bieu 57'!G25</f>
        <v>9805.4876000000004</v>
      </c>
      <c r="I24" s="173"/>
      <c r="J24" s="173"/>
      <c r="K24" s="173"/>
      <c r="L24" s="173"/>
      <c r="M24" s="173"/>
      <c r="N24" s="187">
        <f>'[2]Bieu 57'!I25</f>
        <v>1.1251119999999999</v>
      </c>
      <c r="O24" s="176">
        <f t="shared" ref="O24:O25" si="12">F24/C24*100</f>
        <v>99.637247086966113</v>
      </c>
      <c r="P24" s="176"/>
      <c r="Q24" s="176"/>
    </row>
    <row r="25" spans="1:17" s="15" customFormat="1" ht="19.5">
      <c r="A25" s="48"/>
      <c r="B25" s="188" t="s">
        <v>323</v>
      </c>
      <c r="C25" s="173">
        <f>D25+E25</f>
        <v>46.722999999999999</v>
      </c>
      <c r="D25" s="173"/>
      <c r="E25" s="173">
        <f>'[2]Bieu 57'!C26+'[2]Bieu 57'!C27</f>
        <v>46.722999999999999</v>
      </c>
      <c r="F25" s="173">
        <f t="shared" si="10"/>
        <v>46.722499999999997</v>
      </c>
      <c r="G25" s="173"/>
      <c r="H25" s="173">
        <f>'[2]Bieu 57'!G26+'[2]Bieu 57'!G27</f>
        <v>46.722499999999997</v>
      </c>
      <c r="I25" s="173"/>
      <c r="J25" s="173"/>
      <c r="K25" s="173"/>
      <c r="L25" s="173"/>
      <c r="M25" s="173"/>
      <c r="N25" s="187"/>
      <c r="O25" s="176">
        <f t="shared" si="12"/>
        <v>99.998929863236512</v>
      </c>
      <c r="P25" s="176"/>
      <c r="Q25" s="176"/>
    </row>
    <row r="26" spans="1:17" s="15" customFormat="1" ht="19.5">
      <c r="A26" s="48" t="s">
        <v>137</v>
      </c>
      <c r="B26" s="189" t="s">
        <v>140</v>
      </c>
      <c r="C26" s="182">
        <f t="shared" ref="C26:N26" si="13">SUM(C27:C34)</f>
        <v>41255.028093000001</v>
      </c>
      <c r="D26" s="182">
        <f t="shared" si="13"/>
        <v>0</v>
      </c>
      <c r="E26" s="182">
        <f t="shared" si="13"/>
        <v>41255.028093000001</v>
      </c>
      <c r="F26" s="182">
        <f t="shared" si="13"/>
        <v>39496.583906</v>
      </c>
      <c r="G26" s="182">
        <f t="shared" si="13"/>
        <v>0</v>
      </c>
      <c r="H26" s="182">
        <f t="shared" si="13"/>
        <v>37460.579991999992</v>
      </c>
      <c r="I26" s="182">
        <f t="shared" si="13"/>
        <v>0</v>
      </c>
      <c r="J26" s="182">
        <f t="shared" si="13"/>
        <v>0</v>
      </c>
      <c r="K26" s="182">
        <f t="shared" si="13"/>
        <v>1999.364</v>
      </c>
      <c r="L26" s="182">
        <f t="shared" si="13"/>
        <v>0</v>
      </c>
      <c r="M26" s="182">
        <f t="shared" si="13"/>
        <v>1999.364</v>
      </c>
      <c r="N26" s="190">
        <f t="shared" si="13"/>
        <v>36.639913999999997</v>
      </c>
      <c r="O26" s="183">
        <f t="shared" si="3"/>
        <v>95.737624555639627</v>
      </c>
      <c r="P26" s="183"/>
      <c r="Q26" s="183">
        <f t="shared" si="4"/>
        <v>90.802459054333212</v>
      </c>
    </row>
    <row r="27" spans="1:17" s="15" customFormat="1" ht="19.5">
      <c r="A27" s="46"/>
      <c r="B27" s="188" t="s">
        <v>141</v>
      </c>
      <c r="C27" s="173">
        <f t="shared" si="7"/>
        <v>5476.3339999999998</v>
      </c>
      <c r="D27" s="173"/>
      <c r="E27" s="173">
        <f>'[2]Bieu 57'!C29</f>
        <v>5476.3339999999998</v>
      </c>
      <c r="F27" s="173">
        <f t="shared" ref="F27:F34" si="14">G27+H27+I27+J27+K27+N27</f>
        <v>5247.902</v>
      </c>
      <c r="G27" s="173"/>
      <c r="H27" s="173">
        <f>'[2]Bieu 57'!G29</f>
        <v>5247.902</v>
      </c>
      <c r="I27" s="173"/>
      <c r="J27" s="173"/>
      <c r="K27" s="173">
        <f t="shared" si="9"/>
        <v>0</v>
      </c>
      <c r="L27" s="173"/>
      <c r="M27" s="173"/>
      <c r="N27" s="187">
        <f>'[2]Bieu 57'!I29</f>
        <v>0</v>
      </c>
      <c r="O27" s="176">
        <f t="shared" si="3"/>
        <v>95.828742366700055</v>
      </c>
      <c r="P27" s="176"/>
      <c r="Q27" s="176">
        <f t="shared" si="4"/>
        <v>95.828742366700055</v>
      </c>
    </row>
    <row r="28" spans="1:17" s="15" customFormat="1" ht="37.5">
      <c r="A28" s="46"/>
      <c r="B28" s="188" t="s">
        <v>391</v>
      </c>
      <c r="C28" s="173">
        <f t="shared" si="7"/>
        <v>0</v>
      </c>
      <c r="D28" s="173"/>
      <c r="E28" s="173"/>
      <c r="F28" s="173">
        <f t="shared" si="14"/>
        <v>2000</v>
      </c>
      <c r="G28" s="173"/>
      <c r="H28" s="173"/>
      <c r="I28" s="173"/>
      <c r="J28" s="173"/>
      <c r="K28" s="173">
        <f t="shared" si="9"/>
        <v>1999.364</v>
      </c>
      <c r="L28" s="173"/>
      <c r="M28" s="173">
        <f>'[2]Bieu 57'!G30</f>
        <v>1999.364</v>
      </c>
      <c r="N28" s="187">
        <f>'[2]Bieu 57'!I30</f>
        <v>0.63600000000000001</v>
      </c>
      <c r="O28" s="176"/>
      <c r="P28" s="176"/>
      <c r="Q28" s="176"/>
    </row>
    <row r="29" spans="1:17" s="15" customFormat="1" ht="19.5">
      <c r="A29" s="46"/>
      <c r="B29" s="188" t="s">
        <v>142</v>
      </c>
      <c r="C29" s="173">
        <f t="shared" si="7"/>
        <v>851.07600000000002</v>
      </c>
      <c r="D29" s="173"/>
      <c r="E29" s="173">
        <f>'[2]Bieu 57'!C31</f>
        <v>851.07600000000002</v>
      </c>
      <c r="F29" s="173">
        <f t="shared" si="14"/>
        <v>433.09399999999999</v>
      </c>
      <c r="G29" s="173"/>
      <c r="H29" s="173">
        <f>'[2]Bieu 57'!G31</f>
        <v>433.09399999999999</v>
      </c>
      <c r="I29" s="173"/>
      <c r="J29" s="173"/>
      <c r="K29" s="173">
        <f t="shared" si="9"/>
        <v>0</v>
      </c>
      <c r="L29" s="173"/>
      <c r="M29" s="173"/>
      <c r="N29" s="187">
        <f>'[2]Bieu 57'!I31</f>
        <v>0</v>
      </c>
      <c r="O29" s="176">
        <f t="shared" si="3"/>
        <v>50.887817304212547</v>
      </c>
      <c r="P29" s="176"/>
      <c r="Q29" s="176">
        <f t="shared" si="4"/>
        <v>50.887817304212547</v>
      </c>
    </row>
    <row r="30" spans="1:17" s="15" customFormat="1" ht="19.5">
      <c r="A30" s="46"/>
      <c r="B30" s="188" t="s">
        <v>147</v>
      </c>
      <c r="C30" s="173">
        <f t="shared" si="7"/>
        <v>8389.366</v>
      </c>
      <c r="D30" s="173"/>
      <c r="E30" s="173">
        <f>'[2]Bieu 57'!C32</f>
        <v>8389.366</v>
      </c>
      <c r="F30" s="173">
        <f t="shared" si="14"/>
        <v>8283.3009999999995</v>
      </c>
      <c r="G30" s="173"/>
      <c r="H30" s="173">
        <f>'[2]Bieu 57'!G32</f>
        <v>8283.3009999999995</v>
      </c>
      <c r="I30" s="173"/>
      <c r="J30" s="173"/>
      <c r="K30" s="173">
        <f t="shared" si="9"/>
        <v>0</v>
      </c>
      <c r="L30" s="173"/>
      <c r="M30" s="173"/>
      <c r="N30" s="187"/>
      <c r="O30" s="176">
        <f t="shared" si="3"/>
        <v>98.735720911449093</v>
      </c>
      <c r="P30" s="176"/>
      <c r="Q30" s="176">
        <f t="shared" si="4"/>
        <v>98.735720911449093</v>
      </c>
    </row>
    <row r="31" spans="1:17" s="15" customFormat="1" ht="19.5">
      <c r="A31" s="46"/>
      <c r="B31" s="188" t="s">
        <v>143</v>
      </c>
      <c r="C31" s="173">
        <f t="shared" si="7"/>
        <v>22657.353999999999</v>
      </c>
      <c r="D31" s="173"/>
      <c r="E31" s="173">
        <f>'[2]Bieu 57'!C33</f>
        <v>22657.353999999999</v>
      </c>
      <c r="F31" s="173">
        <f>G31+H31+I31+J31+K31+N31</f>
        <v>19971.776753999999</v>
      </c>
      <c r="G31" s="173"/>
      <c r="H31" s="173">
        <f>'[2]Bieu 57'!G33</f>
        <v>19971.776753999999</v>
      </c>
      <c r="I31" s="173"/>
      <c r="J31" s="173"/>
      <c r="K31" s="173">
        <f t="shared" si="9"/>
        <v>0</v>
      </c>
      <c r="L31" s="173"/>
      <c r="M31" s="173"/>
      <c r="N31" s="187">
        <f>'[2]Bieu 57'!I33</f>
        <v>0</v>
      </c>
      <c r="O31" s="176">
        <f t="shared" si="3"/>
        <v>88.146995249312866</v>
      </c>
      <c r="P31" s="176"/>
      <c r="Q31" s="176">
        <f t="shared" si="4"/>
        <v>88.146995249312866</v>
      </c>
    </row>
    <row r="32" spans="1:17" s="15" customFormat="1" ht="19.5">
      <c r="A32" s="46"/>
      <c r="B32" s="188" t="s">
        <v>148</v>
      </c>
      <c r="C32" s="173">
        <f t="shared" si="7"/>
        <v>2120</v>
      </c>
      <c r="D32" s="173"/>
      <c r="E32" s="173">
        <f>'[2]Bieu 57'!C34</f>
        <v>2120</v>
      </c>
      <c r="F32" s="173">
        <f>G32+H32+I32+J32+K32+N32</f>
        <v>1799.615059</v>
      </c>
      <c r="G32" s="173"/>
      <c r="H32" s="173">
        <f>'[2]Bieu 57'!G34</f>
        <v>1767.9550589999999</v>
      </c>
      <c r="I32" s="173"/>
      <c r="J32" s="173"/>
      <c r="K32" s="173">
        <f t="shared" si="9"/>
        <v>0</v>
      </c>
      <c r="L32" s="173"/>
      <c r="M32" s="173"/>
      <c r="N32" s="187">
        <f>'[2]Bieu 57'!I34</f>
        <v>31.66</v>
      </c>
      <c r="O32" s="176">
        <f t="shared" si="3"/>
        <v>84.88750278301886</v>
      </c>
      <c r="P32" s="176"/>
      <c r="Q32" s="176"/>
    </row>
    <row r="33" spans="1:17" s="13" customFormat="1" ht="18.75">
      <c r="A33" s="46"/>
      <c r="B33" s="188" t="s">
        <v>323</v>
      </c>
      <c r="C33" s="173">
        <f t="shared" si="7"/>
        <v>16.593</v>
      </c>
      <c r="D33" s="173"/>
      <c r="E33" s="173">
        <f>'[2]Bieu 57'!C36</f>
        <v>16.593</v>
      </c>
      <c r="F33" s="173">
        <f>G33+H33+I33+J33+K33+N33</f>
        <v>16.59</v>
      </c>
      <c r="G33" s="173"/>
      <c r="H33" s="173">
        <f>'[2]Bieu 57'!G36</f>
        <v>16.59</v>
      </c>
      <c r="I33" s="173"/>
      <c r="J33" s="173"/>
      <c r="K33" s="173">
        <f t="shared" si="9"/>
        <v>0</v>
      </c>
      <c r="L33" s="173"/>
      <c r="M33" s="173"/>
      <c r="N33" s="187"/>
      <c r="O33" s="176">
        <f t="shared" si="3"/>
        <v>99.981920086783589</v>
      </c>
      <c r="P33" s="176"/>
      <c r="Q33" s="176"/>
    </row>
    <row r="34" spans="1:17" s="15" customFormat="1" ht="19.5">
      <c r="A34" s="46"/>
      <c r="B34" s="188" t="s">
        <v>144</v>
      </c>
      <c r="C34" s="173">
        <f t="shared" si="7"/>
        <v>1744.3050929999999</v>
      </c>
      <c r="D34" s="173"/>
      <c r="E34" s="173">
        <f>'[2]Bieu 57'!C35</f>
        <v>1744.3050929999999</v>
      </c>
      <c r="F34" s="173">
        <f t="shared" si="14"/>
        <v>1744.3050929999999</v>
      </c>
      <c r="G34" s="173"/>
      <c r="H34" s="173">
        <f>'[2]Bieu 57'!G35</f>
        <v>1739.9611789999999</v>
      </c>
      <c r="I34" s="173"/>
      <c r="J34" s="173"/>
      <c r="K34" s="173">
        <f t="shared" si="9"/>
        <v>0</v>
      </c>
      <c r="L34" s="173"/>
      <c r="M34" s="173"/>
      <c r="N34" s="187">
        <f>'[2]Bieu 57'!I35</f>
        <v>4.3439140000000007</v>
      </c>
      <c r="O34" s="176">
        <f t="shared" si="3"/>
        <v>100</v>
      </c>
      <c r="P34" s="176"/>
      <c r="Q34" s="176">
        <f t="shared" si="4"/>
        <v>99.750965928068865</v>
      </c>
    </row>
    <row r="35" spans="1:17" s="15" customFormat="1" ht="19.5">
      <c r="A35" s="81" t="s">
        <v>139</v>
      </c>
      <c r="B35" s="189" t="s">
        <v>146</v>
      </c>
      <c r="C35" s="182">
        <f t="shared" ref="C35:N35" si="15">SUM(C36:C40)</f>
        <v>2773.6320000000001</v>
      </c>
      <c r="D35" s="182">
        <f t="shared" si="15"/>
        <v>0</v>
      </c>
      <c r="E35" s="182">
        <f t="shared" si="15"/>
        <v>2773.6320000000001</v>
      </c>
      <c r="F35" s="182">
        <f t="shared" si="15"/>
        <v>3566.145469</v>
      </c>
      <c r="G35" s="182">
        <f t="shared" si="15"/>
        <v>0</v>
      </c>
      <c r="H35" s="182">
        <f t="shared" si="15"/>
        <v>2352.057284</v>
      </c>
      <c r="I35" s="182">
        <f t="shared" si="15"/>
        <v>0</v>
      </c>
      <c r="J35" s="182">
        <f t="shared" si="15"/>
        <v>0</v>
      </c>
      <c r="K35" s="182">
        <f t="shared" si="15"/>
        <v>0</v>
      </c>
      <c r="L35" s="182">
        <f t="shared" si="15"/>
        <v>0</v>
      </c>
      <c r="M35" s="182">
        <f t="shared" si="15"/>
        <v>0</v>
      </c>
      <c r="N35" s="190">
        <f t="shared" si="15"/>
        <v>1214.0881850000001</v>
      </c>
      <c r="O35" s="183">
        <f t="shared" si="3"/>
        <v>128.57312970862753</v>
      </c>
      <c r="P35" s="183"/>
      <c r="Q35" s="183">
        <f t="shared" si="4"/>
        <v>84.800625461488764</v>
      </c>
    </row>
    <row r="36" spans="1:17" s="15" customFormat="1" ht="19.5">
      <c r="A36" s="46"/>
      <c r="B36" s="188" t="s">
        <v>147</v>
      </c>
      <c r="C36" s="173">
        <f t="shared" si="7"/>
        <v>96.634</v>
      </c>
      <c r="D36" s="173"/>
      <c r="E36" s="173">
        <f>'[2]Bieu 57'!C38</f>
        <v>96.634</v>
      </c>
      <c r="F36" s="173">
        <f>G36+H36+I36+J36+K36+N36</f>
        <v>92.804400000000001</v>
      </c>
      <c r="G36" s="173"/>
      <c r="H36" s="173">
        <f>'[2]Bieu 57'!G38</f>
        <v>92.804400000000001</v>
      </c>
      <c r="I36" s="173"/>
      <c r="J36" s="173"/>
      <c r="K36" s="173">
        <f t="shared" si="9"/>
        <v>0</v>
      </c>
      <c r="L36" s="173"/>
      <c r="M36" s="173"/>
      <c r="N36" s="187">
        <f>'[2]Bieu 57'!I38</f>
        <v>0</v>
      </c>
      <c r="O36" s="176">
        <f t="shared" si="3"/>
        <v>96.037005608791929</v>
      </c>
      <c r="P36" s="176"/>
      <c r="Q36" s="176">
        <f t="shared" si="4"/>
        <v>96.037005608791929</v>
      </c>
    </row>
    <row r="37" spans="1:17" s="13" customFormat="1" ht="37.5">
      <c r="A37" s="46"/>
      <c r="B37" s="188" t="s">
        <v>337</v>
      </c>
      <c r="C37" s="173">
        <f t="shared" si="7"/>
        <v>0</v>
      </c>
      <c r="D37" s="173"/>
      <c r="E37" s="173"/>
      <c r="F37" s="173">
        <f>G37+H37+I37+J37+K37+N37</f>
        <v>1200</v>
      </c>
      <c r="G37" s="173"/>
      <c r="H37" s="173">
        <v>0</v>
      </c>
      <c r="I37" s="173"/>
      <c r="J37" s="173"/>
      <c r="K37" s="173">
        <f t="shared" si="9"/>
        <v>0</v>
      </c>
      <c r="L37" s="173"/>
      <c r="M37" s="173"/>
      <c r="N37" s="187">
        <v>1200</v>
      </c>
      <c r="O37" s="176"/>
      <c r="P37" s="176"/>
      <c r="Q37" s="176"/>
    </row>
    <row r="38" spans="1:17" s="15" customFormat="1" ht="19.5">
      <c r="A38" s="46"/>
      <c r="B38" s="188" t="s">
        <v>148</v>
      </c>
      <c r="C38" s="173">
        <f t="shared" si="7"/>
        <v>1340.258</v>
      </c>
      <c r="D38" s="173"/>
      <c r="E38" s="173">
        <f>'[2]Bieu 57'!C40</f>
        <v>1340.258</v>
      </c>
      <c r="F38" s="173">
        <f t="shared" ref="F38:F40" si="16">G38+H38+I38+J38+K38+N38</f>
        <v>1203.258</v>
      </c>
      <c r="G38" s="173"/>
      <c r="H38" s="173">
        <f>'[2]Bieu 57'!G40</f>
        <v>1203.258</v>
      </c>
      <c r="I38" s="173"/>
      <c r="J38" s="173"/>
      <c r="K38" s="173">
        <f t="shared" si="9"/>
        <v>0</v>
      </c>
      <c r="L38" s="173"/>
      <c r="M38" s="173"/>
      <c r="N38" s="187">
        <f>'[2]Bieu 57'!I40</f>
        <v>0</v>
      </c>
      <c r="O38" s="176">
        <f t="shared" si="3"/>
        <v>89.778087502555479</v>
      </c>
      <c r="P38" s="176"/>
      <c r="Q38" s="176">
        <f t="shared" si="4"/>
        <v>89.778087502555479</v>
      </c>
    </row>
    <row r="39" spans="1:17" s="15" customFormat="1" ht="19.5">
      <c r="A39" s="46"/>
      <c r="B39" s="188" t="s">
        <v>325</v>
      </c>
      <c r="C39" s="173">
        <f t="shared" si="7"/>
        <v>265.17700000000002</v>
      </c>
      <c r="D39" s="173"/>
      <c r="E39" s="173">
        <f>'[2]Bieu 57'!C41</f>
        <v>265.17700000000002</v>
      </c>
      <c r="F39" s="173">
        <f t="shared" si="16"/>
        <v>0</v>
      </c>
      <c r="G39" s="173"/>
      <c r="H39" s="173">
        <f>'[2]Bieu 57'!G41</f>
        <v>0</v>
      </c>
      <c r="I39" s="173"/>
      <c r="J39" s="173"/>
      <c r="K39" s="173"/>
      <c r="L39" s="173"/>
      <c r="M39" s="173"/>
      <c r="N39" s="187"/>
      <c r="O39" s="176">
        <f t="shared" si="3"/>
        <v>0</v>
      </c>
      <c r="P39" s="176"/>
      <c r="Q39" s="176">
        <f t="shared" si="4"/>
        <v>0</v>
      </c>
    </row>
    <row r="40" spans="1:17" s="43" customFormat="1" ht="18.75">
      <c r="A40" s="46"/>
      <c r="B40" s="188" t="s">
        <v>144</v>
      </c>
      <c r="C40" s="173">
        <f t="shared" si="7"/>
        <v>1071.5630000000001</v>
      </c>
      <c r="D40" s="173"/>
      <c r="E40" s="173">
        <f>'[2]Bieu 57'!C42</f>
        <v>1071.5630000000001</v>
      </c>
      <c r="F40" s="173">
        <f t="shared" si="16"/>
        <v>1070.083069</v>
      </c>
      <c r="G40" s="173"/>
      <c r="H40" s="173">
        <f>'[2]Bieu 57'!G42</f>
        <v>1055.994884</v>
      </c>
      <c r="I40" s="173"/>
      <c r="J40" s="173"/>
      <c r="K40" s="173">
        <f t="shared" si="9"/>
        <v>0</v>
      </c>
      <c r="L40" s="173"/>
      <c r="M40" s="173"/>
      <c r="N40" s="187">
        <f>'[2]Bieu 57'!I42</f>
        <v>14.088185000000001</v>
      </c>
      <c r="O40" s="176">
        <f t="shared" si="3"/>
        <v>99.861890434813432</v>
      </c>
      <c r="P40" s="176"/>
      <c r="Q40" s="176">
        <f t="shared" si="4"/>
        <v>98.547158123227462</v>
      </c>
    </row>
    <row r="41" spans="1:17" s="42" customFormat="1" ht="18.75">
      <c r="A41" s="81" t="s">
        <v>145</v>
      </c>
      <c r="B41" s="189" t="s">
        <v>150</v>
      </c>
      <c r="C41" s="182">
        <f t="shared" ref="C41:N41" si="17">SUM(C42:C47)</f>
        <v>42947.212</v>
      </c>
      <c r="D41" s="182">
        <f t="shared" si="17"/>
        <v>0</v>
      </c>
      <c r="E41" s="182">
        <f t="shared" si="17"/>
        <v>42947.212</v>
      </c>
      <c r="F41" s="182">
        <f t="shared" si="17"/>
        <v>44423.704654000001</v>
      </c>
      <c r="G41" s="182">
        <f t="shared" si="17"/>
        <v>0</v>
      </c>
      <c r="H41" s="182">
        <f t="shared" si="17"/>
        <v>42625.904125999994</v>
      </c>
      <c r="I41" s="182">
        <f t="shared" si="17"/>
        <v>0</v>
      </c>
      <c r="J41" s="182">
        <f t="shared" si="17"/>
        <v>0</v>
      </c>
      <c r="K41" s="182">
        <f t="shared" si="17"/>
        <v>903.39900000000011</v>
      </c>
      <c r="L41" s="182">
        <f t="shared" si="17"/>
        <v>0</v>
      </c>
      <c r="M41" s="182">
        <f>SUM(M42:M47)</f>
        <v>903.39900000000011</v>
      </c>
      <c r="N41" s="190">
        <f t="shared" si="17"/>
        <v>894.4015280000001</v>
      </c>
      <c r="O41" s="183">
        <f t="shared" si="3"/>
        <v>103.43792433837149</v>
      </c>
      <c r="P41" s="183"/>
      <c r="Q41" s="183">
        <f t="shared" si="4"/>
        <v>99.251853941066059</v>
      </c>
    </row>
    <row r="42" spans="1:17" s="42" customFormat="1" ht="37.5">
      <c r="A42" s="46"/>
      <c r="B42" s="188" t="s">
        <v>322</v>
      </c>
      <c r="C42" s="173">
        <f t="shared" si="7"/>
        <v>37676</v>
      </c>
      <c r="D42" s="173"/>
      <c r="E42" s="173">
        <f>'[2]Bieu 57'!C44</f>
        <v>37676</v>
      </c>
      <c r="F42" s="173">
        <f>G42+H42+I42+J42+K42+N42</f>
        <v>37662.862999999998</v>
      </c>
      <c r="G42" s="173"/>
      <c r="H42" s="173">
        <f>'[2]Bieu 57'!G44</f>
        <v>37662.862999999998</v>
      </c>
      <c r="I42" s="173"/>
      <c r="J42" s="173"/>
      <c r="K42" s="173">
        <f t="shared" si="9"/>
        <v>0</v>
      </c>
      <c r="L42" s="173"/>
      <c r="M42" s="173"/>
      <c r="N42" s="187">
        <f>'[2]Bieu 57'!I44</f>
        <v>0</v>
      </c>
      <c r="O42" s="176">
        <f t="shared" si="3"/>
        <v>99.96513164879498</v>
      </c>
      <c r="P42" s="176"/>
      <c r="Q42" s="176">
        <f>H42/E42*100</f>
        <v>99.96513164879498</v>
      </c>
    </row>
    <row r="43" spans="1:17" s="13" customFormat="1" ht="18.75">
      <c r="A43" s="46"/>
      <c r="B43" s="188" t="s">
        <v>291</v>
      </c>
      <c r="C43" s="173">
        <f t="shared" si="7"/>
        <v>0</v>
      </c>
      <c r="D43" s="173"/>
      <c r="E43" s="173"/>
      <c r="F43" s="173">
        <f>G43+H43+I43+J43+K43+N43</f>
        <v>1098.9850000000001</v>
      </c>
      <c r="G43" s="173"/>
      <c r="H43" s="173"/>
      <c r="I43" s="173"/>
      <c r="J43" s="173"/>
      <c r="K43" s="173">
        <f t="shared" si="9"/>
        <v>777.53500000000008</v>
      </c>
      <c r="L43" s="173"/>
      <c r="M43" s="173">
        <f>'[2]Bieu 57'!G45+'[2]Bieu 57'!G46</f>
        <v>777.53500000000008</v>
      </c>
      <c r="N43" s="187">
        <f>'[2]Bieu 57'!I45+'[2]Bieu 57'!I46</f>
        <v>321.45</v>
      </c>
      <c r="O43" s="176"/>
      <c r="P43" s="176"/>
      <c r="Q43" s="176"/>
    </row>
    <row r="44" spans="1:17" s="13" customFormat="1" ht="18.75">
      <c r="A44" s="46"/>
      <c r="B44" s="186" t="s">
        <v>347</v>
      </c>
      <c r="C44" s="173">
        <f t="shared" si="7"/>
        <v>120</v>
      </c>
      <c r="D44" s="173"/>
      <c r="E44" s="173">
        <f>'[2]Bieu 57'!C48</f>
        <v>120</v>
      </c>
      <c r="F44" s="173">
        <f t="shared" ref="F44:F45" si="18">G44+H44+I44+J44+K44+N44</f>
        <v>119.69199999999999</v>
      </c>
      <c r="G44" s="173"/>
      <c r="H44" s="173">
        <f>'[2]Bieu 57'!G48</f>
        <v>119.69199999999999</v>
      </c>
      <c r="I44" s="173"/>
      <c r="J44" s="173"/>
      <c r="K44" s="173"/>
      <c r="L44" s="173"/>
      <c r="M44" s="173"/>
      <c r="N44" s="187"/>
      <c r="O44" s="176">
        <f t="shared" si="3"/>
        <v>99.743333333333325</v>
      </c>
      <c r="P44" s="176"/>
      <c r="Q44" s="176">
        <f t="shared" ref="Q44:Q46" si="19">H44/E44*100</f>
        <v>99.743333333333325</v>
      </c>
    </row>
    <row r="45" spans="1:17" s="13" customFormat="1" ht="18.75">
      <c r="A45" s="46"/>
      <c r="B45" s="186" t="s">
        <v>348</v>
      </c>
      <c r="C45" s="173">
        <f t="shared" si="7"/>
        <v>3872.95</v>
      </c>
      <c r="D45" s="173"/>
      <c r="E45" s="173">
        <f>'[2]Bieu 57'!C47</f>
        <v>3872.95</v>
      </c>
      <c r="F45" s="173">
        <f t="shared" si="18"/>
        <v>3718.3310000000001</v>
      </c>
      <c r="G45" s="173"/>
      <c r="H45" s="173">
        <f>'[2]Bieu 57'!G47</f>
        <v>3718.3310000000001</v>
      </c>
      <c r="I45" s="173"/>
      <c r="J45" s="173"/>
      <c r="K45" s="173"/>
      <c r="L45" s="173"/>
      <c r="M45" s="173"/>
      <c r="N45" s="187"/>
      <c r="O45" s="176">
        <f t="shared" si="3"/>
        <v>96.007720213274126</v>
      </c>
      <c r="P45" s="176"/>
      <c r="Q45" s="176">
        <f t="shared" si="19"/>
        <v>96.007720213274126</v>
      </c>
    </row>
    <row r="46" spans="1:17" s="13" customFormat="1" ht="18.75">
      <c r="A46" s="46"/>
      <c r="B46" s="188" t="s">
        <v>323</v>
      </c>
      <c r="C46" s="173">
        <f t="shared" si="7"/>
        <v>8.1</v>
      </c>
      <c r="D46" s="173"/>
      <c r="E46" s="173">
        <f>'[2]Bieu 57'!C49</f>
        <v>8.1</v>
      </c>
      <c r="F46" s="173">
        <f>G46+H46+I46+J46+K46+N46</f>
        <v>8.1</v>
      </c>
      <c r="G46" s="173"/>
      <c r="H46" s="173">
        <f>'[2]Bieu 57'!G49</f>
        <v>8.1</v>
      </c>
      <c r="I46" s="173"/>
      <c r="J46" s="173"/>
      <c r="K46" s="173"/>
      <c r="L46" s="173"/>
      <c r="M46" s="173"/>
      <c r="N46" s="187"/>
      <c r="O46" s="176">
        <f t="shared" si="3"/>
        <v>100</v>
      </c>
      <c r="P46" s="176"/>
      <c r="Q46" s="176">
        <f t="shared" si="19"/>
        <v>100</v>
      </c>
    </row>
    <row r="47" spans="1:17" s="15" customFormat="1" ht="19.5">
      <c r="A47" s="46"/>
      <c r="B47" s="188" t="s">
        <v>144</v>
      </c>
      <c r="C47" s="173">
        <f t="shared" si="7"/>
        <v>1270.1620000000003</v>
      </c>
      <c r="D47" s="173"/>
      <c r="E47" s="173">
        <f>'[2]Bieu 57'!C50-569.48</f>
        <v>1270.1620000000003</v>
      </c>
      <c r="F47" s="173">
        <f>G47+H47+I47+J47+K47+N47</f>
        <v>1815.7336540000001</v>
      </c>
      <c r="G47" s="173"/>
      <c r="H47" s="173">
        <f>'[2]Bieu 57'!G50-K47</f>
        <v>1116.918126</v>
      </c>
      <c r="I47" s="173"/>
      <c r="J47" s="173"/>
      <c r="K47" s="173">
        <f t="shared" si="9"/>
        <v>125.864</v>
      </c>
      <c r="L47" s="173"/>
      <c r="M47" s="173">
        <f>125.864</f>
        <v>125.864</v>
      </c>
      <c r="N47" s="187">
        <f>'[2]Bieu 57'!I50</f>
        <v>572.95152800000005</v>
      </c>
      <c r="O47" s="176">
        <f t="shared" si="3"/>
        <v>142.95291891900402</v>
      </c>
      <c r="P47" s="176"/>
      <c r="Q47" s="176">
        <f t="shared" si="4"/>
        <v>87.935092216583371</v>
      </c>
    </row>
    <row r="48" spans="1:17" s="15" customFormat="1" ht="19.5">
      <c r="A48" s="82" t="s">
        <v>149</v>
      </c>
      <c r="B48" s="189" t="s">
        <v>152</v>
      </c>
      <c r="C48" s="182">
        <f>SUM(C49:C51)</f>
        <v>2086.5659999999998</v>
      </c>
      <c r="D48" s="182">
        <f t="shared" ref="D48:N48" si="20">SUM(D49:D51)</f>
        <v>0</v>
      </c>
      <c r="E48" s="182">
        <f t="shared" si="20"/>
        <v>2086.5659999999998</v>
      </c>
      <c r="F48" s="182">
        <f t="shared" si="20"/>
        <v>4055.8910000000001</v>
      </c>
      <c r="G48" s="182">
        <f t="shared" si="20"/>
        <v>0</v>
      </c>
      <c r="H48" s="182">
        <f>SUM(H49:H51)</f>
        <v>2048.8901610000003</v>
      </c>
      <c r="I48" s="182">
        <f t="shared" si="20"/>
        <v>0</v>
      </c>
      <c r="J48" s="182">
        <f t="shared" si="20"/>
        <v>0</v>
      </c>
      <c r="K48" s="182">
        <f t="shared" si="20"/>
        <v>1855.6879000000001</v>
      </c>
      <c r="L48" s="182">
        <f t="shared" si="20"/>
        <v>0</v>
      </c>
      <c r="M48" s="182">
        <f t="shared" si="20"/>
        <v>1855.6879000000001</v>
      </c>
      <c r="N48" s="182">
        <f t="shared" si="20"/>
        <v>151.312939</v>
      </c>
      <c r="O48" s="183">
        <f t="shared" si="3"/>
        <v>194.38115065614988</v>
      </c>
      <c r="P48" s="183"/>
      <c r="Q48" s="183">
        <f t="shared" si="4"/>
        <v>98.19436150114592</v>
      </c>
    </row>
    <row r="49" spans="1:17" s="15" customFormat="1" ht="19.5">
      <c r="A49" s="48"/>
      <c r="B49" s="188" t="s">
        <v>262</v>
      </c>
      <c r="C49" s="173">
        <f t="shared" si="7"/>
        <v>872.06799999999998</v>
      </c>
      <c r="D49" s="173"/>
      <c r="E49" s="173">
        <f>'[2]Bieu 57'!C52</f>
        <v>872.06799999999998</v>
      </c>
      <c r="F49" s="173">
        <f>G49+H49+I49+J49+K49+N49</f>
        <v>834.96799999999996</v>
      </c>
      <c r="G49" s="173"/>
      <c r="H49" s="173">
        <f>'[2]Bieu 57'!G52</f>
        <v>834.96799999999996</v>
      </c>
      <c r="I49" s="173"/>
      <c r="J49" s="173"/>
      <c r="K49" s="173">
        <f t="shared" si="9"/>
        <v>0</v>
      </c>
      <c r="L49" s="173"/>
      <c r="M49" s="173"/>
      <c r="N49" s="187">
        <f>'[2]Bieu 57'!I52</f>
        <v>0</v>
      </c>
      <c r="O49" s="176">
        <f t="shared" si="3"/>
        <v>95.745744597898323</v>
      </c>
      <c r="P49" s="176"/>
      <c r="Q49" s="176">
        <f t="shared" si="4"/>
        <v>95.745744597898323</v>
      </c>
    </row>
    <row r="50" spans="1:17" s="15" customFormat="1" ht="19.5">
      <c r="A50" s="48"/>
      <c r="B50" s="188" t="s">
        <v>323</v>
      </c>
      <c r="C50" s="173">
        <f t="shared" si="7"/>
        <v>2.5</v>
      </c>
      <c r="D50" s="173"/>
      <c r="E50" s="173">
        <f>'[2]Bieu 57'!C53</f>
        <v>2.5</v>
      </c>
      <c r="F50" s="173">
        <f>G50+H50+I50+J50+K50+N50</f>
        <v>2.5</v>
      </c>
      <c r="G50" s="173"/>
      <c r="H50" s="173">
        <f>'[2]Bieu 57'!G53</f>
        <v>2.5</v>
      </c>
      <c r="I50" s="173"/>
      <c r="J50" s="173"/>
      <c r="K50" s="173"/>
      <c r="L50" s="173"/>
      <c r="M50" s="173"/>
      <c r="N50" s="187"/>
      <c r="O50" s="176"/>
      <c r="P50" s="176"/>
      <c r="Q50" s="176"/>
    </row>
    <row r="51" spans="1:17" s="15" customFormat="1" ht="19.5">
      <c r="A51" s="48"/>
      <c r="B51" s="188" t="s">
        <v>144</v>
      </c>
      <c r="C51" s="173">
        <f t="shared" si="7"/>
        <v>1211.998</v>
      </c>
      <c r="D51" s="173"/>
      <c r="E51" s="173">
        <f>'[2]Bieu 57'!C54-1800-207</f>
        <v>1211.998</v>
      </c>
      <c r="F51" s="173">
        <f t="shared" ref="F51:F60" si="21">G51+H51+I51+J51+K51+N51</f>
        <v>3218.4230000000002</v>
      </c>
      <c r="G51" s="173"/>
      <c r="H51" s="173">
        <f>'[2]Bieu 57'!G54-K51</f>
        <v>1211.4221610000002</v>
      </c>
      <c r="I51" s="173"/>
      <c r="J51" s="173"/>
      <c r="K51" s="173">
        <f t="shared" si="9"/>
        <v>1855.6879000000001</v>
      </c>
      <c r="L51" s="173"/>
      <c r="M51" s="173">
        <f>206.6524+422.0065+742.309+484.72</f>
        <v>1855.6879000000001</v>
      </c>
      <c r="N51" s="187">
        <f>'[2]Bieu 57'!I54</f>
        <v>151.312939</v>
      </c>
      <c r="O51" s="176">
        <f t="shared" si="3"/>
        <v>265.54689034140318</v>
      </c>
      <c r="P51" s="176"/>
      <c r="Q51" s="176">
        <f t="shared" si="4"/>
        <v>99.952488452951243</v>
      </c>
    </row>
    <row r="52" spans="1:17" s="15" customFormat="1" ht="19.5">
      <c r="A52" s="48" t="s">
        <v>151</v>
      </c>
      <c r="B52" s="188" t="s">
        <v>154</v>
      </c>
      <c r="C52" s="173">
        <f>SUM(C53:C54)</f>
        <v>1127.539</v>
      </c>
      <c r="D52" s="173">
        <f t="shared" ref="D52:N52" si="22">SUM(D53:D54)</f>
        <v>0</v>
      </c>
      <c r="E52" s="173">
        <f t="shared" si="22"/>
        <v>1127.539</v>
      </c>
      <c r="F52" s="173">
        <f t="shared" si="22"/>
        <v>1127.0390459999999</v>
      </c>
      <c r="G52" s="173">
        <f t="shared" si="22"/>
        <v>0</v>
      </c>
      <c r="H52" s="173">
        <f t="shared" si="22"/>
        <v>1118.9989169999999</v>
      </c>
      <c r="I52" s="173">
        <f t="shared" si="22"/>
        <v>0</v>
      </c>
      <c r="J52" s="173">
        <f t="shared" si="22"/>
        <v>0</v>
      </c>
      <c r="K52" s="173">
        <f t="shared" si="22"/>
        <v>0</v>
      </c>
      <c r="L52" s="173">
        <f t="shared" si="22"/>
        <v>0</v>
      </c>
      <c r="M52" s="173">
        <f t="shared" si="22"/>
        <v>0</v>
      </c>
      <c r="N52" s="173">
        <f t="shared" si="22"/>
        <v>8.0401290000000003</v>
      </c>
      <c r="O52" s="176">
        <f t="shared" si="3"/>
        <v>99.955659715539753</v>
      </c>
      <c r="P52" s="176"/>
      <c r="Q52" s="176">
        <f t="shared" si="4"/>
        <v>99.242590899294825</v>
      </c>
    </row>
    <row r="53" spans="1:17" s="15" customFormat="1" ht="19.5">
      <c r="A53" s="48"/>
      <c r="B53" s="186" t="s">
        <v>144</v>
      </c>
      <c r="C53" s="173">
        <f t="shared" si="7"/>
        <v>1113.6890000000001</v>
      </c>
      <c r="D53" s="173"/>
      <c r="E53" s="173">
        <f>'[2]Bieu 57'!C56</f>
        <v>1113.6890000000001</v>
      </c>
      <c r="F53" s="173">
        <f t="shared" si="21"/>
        <v>1113.189046</v>
      </c>
      <c r="G53" s="173"/>
      <c r="H53" s="173">
        <f>'[2]Bieu 57'!G56</f>
        <v>1105.148917</v>
      </c>
      <c r="I53" s="173"/>
      <c r="J53" s="173"/>
      <c r="K53" s="173"/>
      <c r="L53" s="173"/>
      <c r="M53" s="173"/>
      <c r="N53" s="187">
        <f>'[2]Bieu 57'!I56</f>
        <v>8.0401290000000003</v>
      </c>
      <c r="O53" s="176">
        <f t="shared" si="3"/>
        <v>99.955108293248813</v>
      </c>
      <c r="P53" s="176"/>
      <c r="Q53" s="176">
        <f t="shared" si="4"/>
        <v>99.233171648458409</v>
      </c>
    </row>
    <row r="54" spans="1:17" s="13" customFormat="1" ht="18.75">
      <c r="A54" s="48"/>
      <c r="B54" s="186" t="s">
        <v>323</v>
      </c>
      <c r="C54" s="173">
        <f t="shared" si="7"/>
        <v>13.85</v>
      </c>
      <c r="D54" s="173"/>
      <c r="E54" s="173">
        <f>'[2]Bieu 57'!C57</f>
        <v>13.85</v>
      </c>
      <c r="F54" s="173">
        <f t="shared" si="21"/>
        <v>13.85</v>
      </c>
      <c r="G54" s="173"/>
      <c r="H54" s="173">
        <f>'[2]Bieu 57'!G57</f>
        <v>13.85</v>
      </c>
      <c r="I54" s="173"/>
      <c r="J54" s="173"/>
      <c r="K54" s="173"/>
      <c r="L54" s="173"/>
      <c r="M54" s="173"/>
      <c r="N54" s="187"/>
      <c r="O54" s="176">
        <f t="shared" si="3"/>
        <v>100</v>
      </c>
      <c r="P54" s="176"/>
      <c r="Q54" s="176">
        <f t="shared" si="4"/>
        <v>100</v>
      </c>
    </row>
    <row r="55" spans="1:17" s="13" customFormat="1" ht="18.75">
      <c r="A55" s="48" t="s">
        <v>153</v>
      </c>
      <c r="B55" s="188" t="s">
        <v>156</v>
      </c>
      <c r="C55" s="173">
        <f>SUM(C56:C57)</f>
        <v>1025.2739999999999</v>
      </c>
      <c r="D55" s="173">
        <f t="shared" ref="D55:N55" si="23">SUM(D56:D57)</f>
        <v>0</v>
      </c>
      <c r="E55" s="173">
        <f t="shared" si="23"/>
        <v>1025.2739999999999</v>
      </c>
      <c r="F55" s="173">
        <f>SUM(F56:F57)</f>
        <v>1025.2738399999998</v>
      </c>
      <c r="G55" s="173">
        <f t="shared" si="23"/>
        <v>0</v>
      </c>
      <c r="H55" s="173">
        <f>SUM(H56:H57)</f>
        <v>1021.9925489999999</v>
      </c>
      <c r="I55" s="173">
        <f t="shared" si="23"/>
        <v>0</v>
      </c>
      <c r="J55" s="173">
        <f t="shared" si="23"/>
        <v>0</v>
      </c>
      <c r="K55" s="173">
        <f t="shared" si="23"/>
        <v>0</v>
      </c>
      <c r="L55" s="173">
        <f t="shared" si="23"/>
        <v>0</v>
      </c>
      <c r="M55" s="173">
        <f t="shared" si="23"/>
        <v>0</v>
      </c>
      <c r="N55" s="173">
        <f t="shared" si="23"/>
        <v>3.281291</v>
      </c>
      <c r="O55" s="176">
        <f t="shared" si="3"/>
        <v>99.999984394415549</v>
      </c>
      <c r="P55" s="176"/>
      <c r="Q55" s="176">
        <f t="shared" si="4"/>
        <v>99.679943995458771</v>
      </c>
    </row>
    <row r="56" spans="1:17" s="13" customFormat="1" ht="18.75">
      <c r="A56" s="48"/>
      <c r="B56" s="186" t="s">
        <v>144</v>
      </c>
      <c r="C56" s="173">
        <f t="shared" si="7"/>
        <v>1025.2739999999999</v>
      </c>
      <c r="D56" s="173"/>
      <c r="E56" s="173">
        <f>'[2]Bieu 57'!C59</f>
        <v>1025.2739999999999</v>
      </c>
      <c r="F56" s="173">
        <f t="shared" ref="F56:F57" si="24">G56+H56+I56+J56+K56+N56</f>
        <v>1025.2738399999998</v>
      </c>
      <c r="G56" s="173"/>
      <c r="H56" s="173">
        <f>'[2]Bieu 57'!G59</f>
        <v>1021.9925489999999</v>
      </c>
      <c r="I56" s="173"/>
      <c r="J56" s="173"/>
      <c r="K56" s="173"/>
      <c r="L56" s="173"/>
      <c r="M56" s="173"/>
      <c r="N56" s="187">
        <f>'[2]Bieu 57'!I59</f>
        <v>3.281291</v>
      </c>
      <c r="O56" s="176">
        <f t="shared" si="3"/>
        <v>99.999984394415549</v>
      </c>
      <c r="P56" s="176"/>
      <c r="Q56" s="176">
        <f t="shared" si="4"/>
        <v>99.679943995458771</v>
      </c>
    </row>
    <row r="57" spans="1:17" s="15" customFormat="1" ht="19.5">
      <c r="A57" s="48"/>
      <c r="B57" s="186" t="s">
        <v>323</v>
      </c>
      <c r="C57" s="173">
        <f t="shared" si="7"/>
        <v>0</v>
      </c>
      <c r="D57" s="173"/>
      <c r="E57" s="173">
        <f>'[2]Bieu 57'!C60</f>
        <v>0</v>
      </c>
      <c r="F57" s="173">
        <f t="shared" si="24"/>
        <v>0</v>
      </c>
      <c r="G57" s="173"/>
      <c r="H57" s="173">
        <f>'[2]Bieu 57'!G60</f>
        <v>0</v>
      </c>
      <c r="I57" s="173"/>
      <c r="J57" s="173"/>
      <c r="K57" s="173"/>
      <c r="L57" s="173"/>
      <c r="M57" s="173"/>
      <c r="N57" s="187"/>
      <c r="O57" s="176"/>
      <c r="P57" s="176"/>
      <c r="Q57" s="176"/>
    </row>
    <row r="58" spans="1:17" s="15" customFormat="1" ht="19.5">
      <c r="A58" s="48" t="s">
        <v>155</v>
      </c>
      <c r="B58" s="188" t="s">
        <v>158</v>
      </c>
      <c r="C58" s="187">
        <f t="shared" ref="C58:M58" si="25">SUM(C59:C60)</f>
        <v>2504.721</v>
      </c>
      <c r="D58" s="187">
        <f t="shared" si="25"/>
        <v>0</v>
      </c>
      <c r="E58" s="187">
        <f t="shared" si="25"/>
        <v>2504.721</v>
      </c>
      <c r="F58" s="187">
        <f>SUM(F59:F60)</f>
        <v>2504.7201800000003</v>
      </c>
      <c r="G58" s="187">
        <f t="shared" si="25"/>
        <v>0</v>
      </c>
      <c r="H58" s="187">
        <f t="shared" si="25"/>
        <v>2501.8878910000003</v>
      </c>
      <c r="I58" s="187">
        <f t="shared" si="25"/>
        <v>0</v>
      </c>
      <c r="J58" s="187">
        <f t="shared" si="25"/>
        <v>0</v>
      </c>
      <c r="K58" s="187">
        <f t="shared" si="25"/>
        <v>0</v>
      </c>
      <c r="L58" s="187">
        <f t="shared" si="25"/>
        <v>0</v>
      </c>
      <c r="M58" s="187">
        <f t="shared" si="25"/>
        <v>0</v>
      </c>
      <c r="N58" s="187">
        <f>SUM(N59:N60)</f>
        <v>2.8322889999999998</v>
      </c>
      <c r="O58" s="176">
        <f t="shared" si="3"/>
        <v>99.999967261822789</v>
      </c>
      <c r="P58" s="176"/>
      <c r="Q58" s="176">
        <f t="shared" si="4"/>
        <v>99.886889238362286</v>
      </c>
    </row>
    <row r="59" spans="1:17" s="15" customFormat="1" ht="19.5">
      <c r="A59" s="48"/>
      <c r="B59" s="186" t="s">
        <v>144</v>
      </c>
      <c r="C59" s="173">
        <f t="shared" si="7"/>
        <v>2399.721</v>
      </c>
      <c r="D59" s="173"/>
      <c r="E59" s="173">
        <f>'[2]Bieu 57'!C62</f>
        <v>2399.721</v>
      </c>
      <c r="F59" s="173">
        <f t="shared" si="21"/>
        <v>2399.7201800000003</v>
      </c>
      <c r="G59" s="173"/>
      <c r="H59" s="173">
        <f>'[2]Bieu 57'!G62</f>
        <v>2396.8878910000003</v>
      </c>
      <c r="I59" s="173"/>
      <c r="J59" s="173"/>
      <c r="K59" s="173"/>
      <c r="L59" s="173"/>
      <c r="M59" s="173"/>
      <c r="N59" s="187">
        <f>'[2]Bieu 57'!I62</f>
        <v>2.8322889999999998</v>
      </c>
      <c r="O59" s="176">
        <f t="shared" si="3"/>
        <v>99.999965829361003</v>
      </c>
      <c r="P59" s="176"/>
      <c r="Q59" s="176">
        <f t="shared" si="4"/>
        <v>99.881940067199494</v>
      </c>
    </row>
    <row r="60" spans="1:17" s="15" customFormat="1" ht="19.5">
      <c r="A60" s="48"/>
      <c r="B60" s="186" t="s">
        <v>323</v>
      </c>
      <c r="C60" s="173">
        <f t="shared" si="7"/>
        <v>105</v>
      </c>
      <c r="D60" s="173"/>
      <c r="E60" s="173">
        <f>'[2]Bieu 57'!C64+'[2]Bieu 57'!C63</f>
        <v>105</v>
      </c>
      <c r="F60" s="173">
        <f t="shared" si="21"/>
        <v>105</v>
      </c>
      <c r="G60" s="173"/>
      <c r="H60" s="173">
        <f>'[2]Bieu 57'!G64+'[2]Bieu 57'!G63</f>
        <v>105</v>
      </c>
      <c r="I60" s="173"/>
      <c r="J60" s="173"/>
      <c r="K60" s="173"/>
      <c r="L60" s="173"/>
      <c r="M60" s="173"/>
      <c r="N60" s="187"/>
      <c r="O60" s="176">
        <f t="shared" si="3"/>
        <v>100</v>
      </c>
      <c r="P60" s="176"/>
      <c r="Q60" s="176">
        <f t="shared" si="4"/>
        <v>100</v>
      </c>
    </row>
    <row r="61" spans="1:17" s="15" customFormat="1" ht="19.5">
      <c r="A61" s="82" t="s">
        <v>157</v>
      </c>
      <c r="B61" s="189" t="s">
        <v>160</v>
      </c>
      <c r="C61" s="182">
        <f t="shared" ref="C61:N61" si="26">SUM(C62:C72)</f>
        <v>94212.217000000004</v>
      </c>
      <c r="D61" s="182">
        <f t="shared" si="26"/>
        <v>0</v>
      </c>
      <c r="E61" s="182">
        <f t="shared" si="26"/>
        <v>94212.217000000004</v>
      </c>
      <c r="F61" s="182">
        <f t="shared" si="26"/>
        <v>98186.260635000013</v>
      </c>
      <c r="G61" s="182">
        <f t="shared" si="26"/>
        <v>0</v>
      </c>
      <c r="H61" s="182">
        <f t="shared" si="26"/>
        <v>92229.574871000004</v>
      </c>
      <c r="I61" s="182">
        <f t="shared" si="26"/>
        <v>0</v>
      </c>
      <c r="J61" s="182">
        <f t="shared" si="26"/>
        <v>0</v>
      </c>
      <c r="K61" s="182">
        <f t="shared" si="26"/>
        <v>2464.5622899999998</v>
      </c>
      <c r="L61" s="182">
        <f t="shared" si="26"/>
        <v>0</v>
      </c>
      <c r="M61" s="182">
        <f>SUM(M62:M72)</f>
        <v>2464.5622899999998</v>
      </c>
      <c r="N61" s="190">
        <f t="shared" si="26"/>
        <v>3492.123474</v>
      </c>
      <c r="O61" s="183">
        <f t="shared" si="3"/>
        <v>104.218182908274</v>
      </c>
      <c r="P61" s="183"/>
      <c r="Q61" s="183">
        <f t="shared" si="4"/>
        <v>97.895557293806178</v>
      </c>
    </row>
    <row r="62" spans="1:17" s="13" customFormat="1" ht="18.75">
      <c r="A62" s="46"/>
      <c r="B62" s="188" t="s">
        <v>144</v>
      </c>
      <c r="C62" s="173">
        <f t="shared" si="7"/>
        <v>2141.384</v>
      </c>
      <c r="D62" s="173"/>
      <c r="E62" s="173">
        <f>'[2]Bieu 57'!C66</f>
        <v>2141.384</v>
      </c>
      <c r="F62" s="173">
        <f>G62+H62+I62+J62+K62+N62</f>
        <v>2081.8135350000002</v>
      </c>
      <c r="G62" s="173"/>
      <c r="H62" s="173">
        <f>'[2]Bieu 57'!G66-K62</f>
        <v>1149.4877710000001</v>
      </c>
      <c r="I62" s="173"/>
      <c r="J62" s="173"/>
      <c r="K62" s="173">
        <f t="shared" si="9"/>
        <v>505.24520000000001</v>
      </c>
      <c r="L62" s="173"/>
      <c r="M62" s="173">
        <v>505.24520000000001</v>
      </c>
      <c r="N62" s="187">
        <f>'[2]Bieu 57'!I66</f>
        <v>427.08056399999998</v>
      </c>
      <c r="O62" s="176">
        <f t="shared" si="3"/>
        <v>97.218132525506888</v>
      </c>
      <c r="P62" s="176"/>
      <c r="Q62" s="176">
        <f t="shared" si="4"/>
        <v>53.679665627463358</v>
      </c>
    </row>
    <row r="63" spans="1:17" s="13" customFormat="1" ht="18.75">
      <c r="A63" s="46"/>
      <c r="B63" s="188" t="s">
        <v>161</v>
      </c>
      <c r="C63" s="173">
        <f t="shared" si="7"/>
        <v>5691.7</v>
      </c>
      <c r="D63" s="173"/>
      <c r="E63" s="173">
        <f>'[2]Bieu 57'!C67</f>
        <v>5691.7</v>
      </c>
      <c r="F63" s="173">
        <f t="shared" ref="F63:F76" si="27">G63+H63+I63+J63+K63+N63</f>
        <v>5486.1540000000005</v>
      </c>
      <c r="G63" s="173"/>
      <c r="H63" s="173">
        <f>'[2]Bieu 57'!G67</f>
        <v>5486.1540000000005</v>
      </c>
      <c r="I63" s="173"/>
      <c r="J63" s="173"/>
      <c r="K63" s="173">
        <f t="shared" si="9"/>
        <v>0</v>
      </c>
      <c r="L63" s="173"/>
      <c r="M63" s="173"/>
      <c r="N63" s="187">
        <f>'[2]Bieu 57'!I67</f>
        <v>0</v>
      </c>
      <c r="O63" s="176">
        <f t="shared" si="3"/>
        <v>96.388671223008956</v>
      </c>
      <c r="P63" s="176"/>
      <c r="Q63" s="176">
        <f t="shared" si="4"/>
        <v>96.388671223008956</v>
      </c>
    </row>
    <row r="64" spans="1:17" s="13" customFormat="1" ht="18.75">
      <c r="A64" s="46"/>
      <c r="B64" s="188" t="s">
        <v>162</v>
      </c>
      <c r="C64" s="173">
        <f t="shared" si="7"/>
        <v>78754.039999999994</v>
      </c>
      <c r="D64" s="173"/>
      <c r="E64" s="173">
        <f>'[2]Bieu 57'!C68</f>
        <v>78754.039999999994</v>
      </c>
      <c r="F64" s="173">
        <f t="shared" si="27"/>
        <v>77993.187000000005</v>
      </c>
      <c r="G64" s="173"/>
      <c r="H64" s="173">
        <f>'[2]Bieu 57'!G68</f>
        <v>77993.187000000005</v>
      </c>
      <c r="I64" s="173"/>
      <c r="J64" s="173"/>
      <c r="K64" s="173">
        <f t="shared" si="9"/>
        <v>0</v>
      </c>
      <c r="L64" s="173"/>
      <c r="M64" s="173"/>
      <c r="N64" s="187">
        <f>'[2]Bieu 57'!I68</f>
        <v>0</v>
      </c>
      <c r="O64" s="176">
        <f t="shared" si="3"/>
        <v>99.033887023446681</v>
      </c>
      <c r="P64" s="176"/>
      <c r="Q64" s="176">
        <f t="shared" si="4"/>
        <v>99.033887023446681</v>
      </c>
    </row>
    <row r="65" spans="1:17" s="13" customFormat="1" ht="18.75">
      <c r="A65" s="46"/>
      <c r="B65" s="188" t="s">
        <v>163</v>
      </c>
      <c r="C65" s="173">
        <f t="shared" si="7"/>
        <v>250</v>
      </c>
      <c r="D65" s="173"/>
      <c r="E65" s="173">
        <f>'[2]Bieu 57'!C69</f>
        <v>250</v>
      </c>
      <c r="F65" s="173">
        <f t="shared" si="27"/>
        <v>232.19800000000001</v>
      </c>
      <c r="G65" s="173"/>
      <c r="H65" s="173">
        <f>'[2]Bieu 57'!G69</f>
        <v>232.19800000000001</v>
      </c>
      <c r="I65" s="173"/>
      <c r="J65" s="173"/>
      <c r="K65" s="173">
        <f t="shared" si="9"/>
        <v>0</v>
      </c>
      <c r="L65" s="173"/>
      <c r="M65" s="173"/>
      <c r="N65" s="187">
        <f>'[2]Bieu 57'!I69</f>
        <v>0</v>
      </c>
      <c r="O65" s="176">
        <f t="shared" si="3"/>
        <v>92.879200000000012</v>
      </c>
      <c r="P65" s="176"/>
      <c r="Q65" s="176">
        <f t="shared" si="4"/>
        <v>92.879200000000012</v>
      </c>
    </row>
    <row r="66" spans="1:17" s="13" customFormat="1" ht="18.75">
      <c r="A66" s="46"/>
      <c r="B66" s="188" t="s">
        <v>292</v>
      </c>
      <c r="C66" s="173">
        <f t="shared" si="7"/>
        <v>7090.1720000000005</v>
      </c>
      <c r="D66" s="173"/>
      <c r="E66" s="173">
        <f>'[2]Bieu 57'!C70</f>
        <v>7090.1720000000005</v>
      </c>
      <c r="F66" s="173">
        <f t="shared" si="27"/>
        <v>7090.1720999999998</v>
      </c>
      <c r="G66" s="173"/>
      <c r="H66" s="173">
        <f>'[2]Bieu 57'!G70</f>
        <v>7090.1720999999998</v>
      </c>
      <c r="I66" s="173"/>
      <c r="J66" s="173"/>
      <c r="K66" s="173">
        <f t="shared" si="9"/>
        <v>0</v>
      </c>
      <c r="L66" s="173"/>
      <c r="M66" s="173"/>
      <c r="N66" s="187">
        <f>'[2]Bieu 57'!I70</f>
        <v>0</v>
      </c>
      <c r="O66" s="176">
        <f t="shared" si="3"/>
        <v>100.00000141040302</v>
      </c>
      <c r="P66" s="176"/>
      <c r="Q66" s="176">
        <f t="shared" si="4"/>
        <v>100.00000141040302</v>
      </c>
    </row>
    <row r="67" spans="1:17" s="13" customFormat="1" ht="18.75">
      <c r="A67" s="46"/>
      <c r="B67" s="188" t="s">
        <v>323</v>
      </c>
      <c r="C67" s="173">
        <f t="shared" si="7"/>
        <v>10.3</v>
      </c>
      <c r="D67" s="173"/>
      <c r="E67" s="173">
        <f>'[2]Bieu 57'!C71</f>
        <v>10.3</v>
      </c>
      <c r="F67" s="173">
        <f t="shared" si="27"/>
        <v>10.3</v>
      </c>
      <c r="G67" s="173"/>
      <c r="H67" s="173">
        <f>'[2]Bieu 57'!G71</f>
        <v>10.3</v>
      </c>
      <c r="I67" s="173"/>
      <c r="J67" s="173"/>
      <c r="K67" s="173">
        <f t="shared" si="9"/>
        <v>0</v>
      </c>
      <c r="L67" s="173"/>
      <c r="M67" s="173"/>
      <c r="N67" s="187">
        <f>'[2]Bieu 57'!I71</f>
        <v>0</v>
      </c>
      <c r="O67" s="176">
        <f t="shared" si="3"/>
        <v>100</v>
      </c>
      <c r="P67" s="176"/>
      <c r="Q67" s="176">
        <f t="shared" si="4"/>
        <v>100</v>
      </c>
    </row>
    <row r="68" spans="1:17" s="13" customFormat="1" ht="18.75">
      <c r="A68" s="46"/>
      <c r="B68" s="186" t="s">
        <v>349</v>
      </c>
      <c r="C68" s="173">
        <f t="shared" si="7"/>
        <v>70</v>
      </c>
      <c r="D68" s="173"/>
      <c r="E68" s="173">
        <f>'[2]Bieu 57'!C72</f>
        <v>70</v>
      </c>
      <c r="F68" s="173">
        <f t="shared" si="27"/>
        <v>70</v>
      </c>
      <c r="G68" s="173"/>
      <c r="H68" s="173">
        <f>'[2]Bieu 57'!G72</f>
        <v>70</v>
      </c>
      <c r="I68" s="173"/>
      <c r="J68" s="173"/>
      <c r="K68" s="173">
        <f t="shared" si="9"/>
        <v>0</v>
      </c>
      <c r="L68" s="173"/>
      <c r="M68" s="173"/>
      <c r="N68" s="187">
        <f>'[2]Bieu 57'!I72</f>
        <v>0</v>
      </c>
      <c r="O68" s="176">
        <f t="shared" si="3"/>
        <v>100</v>
      </c>
      <c r="P68" s="176"/>
      <c r="Q68" s="176">
        <f t="shared" si="4"/>
        <v>100</v>
      </c>
    </row>
    <row r="69" spans="1:17" s="13" customFormat="1" ht="18.75">
      <c r="A69" s="46"/>
      <c r="B69" s="188" t="s">
        <v>164</v>
      </c>
      <c r="C69" s="173">
        <f t="shared" si="7"/>
        <v>204.62099999999998</v>
      </c>
      <c r="D69" s="173"/>
      <c r="E69" s="173">
        <f>'[2]Bieu 57'!C73</f>
        <v>204.62099999999998</v>
      </c>
      <c r="F69" s="173">
        <f t="shared" si="27"/>
        <v>198.07599999999999</v>
      </c>
      <c r="G69" s="173"/>
      <c r="H69" s="173">
        <f>'[2]Bieu 57'!G73</f>
        <v>198.07599999999999</v>
      </c>
      <c r="I69" s="173"/>
      <c r="J69" s="173"/>
      <c r="K69" s="173">
        <f t="shared" si="9"/>
        <v>0</v>
      </c>
      <c r="L69" s="173"/>
      <c r="M69" s="173"/>
      <c r="N69" s="187">
        <f>'[2]Bieu 57'!I73</f>
        <v>0</v>
      </c>
      <c r="O69" s="176">
        <f t="shared" si="3"/>
        <v>96.801403570503524</v>
      </c>
      <c r="P69" s="176"/>
      <c r="Q69" s="176">
        <f t="shared" si="4"/>
        <v>96.801403570503524</v>
      </c>
    </row>
    <row r="70" spans="1:17" s="13" customFormat="1" ht="18.75">
      <c r="A70" s="46"/>
      <c r="B70" s="188" t="s">
        <v>350</v>
      </c>
      <c r="C70" s="173">
        <f t="shared" si="7"/>
        <v>0</v>
      </c>
      <c r="D70" s="173"/>
      <c r="E70" s="173"/>
      <c r="F70" s="173">
        <f t="shared" si="27"/>
        <v>301</v>
      </c>
      <c r="G70" s="173"/>
      <c r="H70" s="173"/>
      <c r="I70" s="173"/>
      <c r="J70" s="173"/>
      <c r="K70" s="173">
        <f t="shared" si="9"/>
        <v>200.40943999999999</v>
      </c>
      <c r="L70" s="173"/>
      <c r="M70" s="173">
        <f>'[2]Bieu 57'!G74</f>
        <v>200.40943999999999</v>
      </c>
      <c r="N70" s="187">
        <f>'[2]Bieu 57'!I74</f>
        <v>100.59056</v>
      </c>
      <c r="O70" s="176"/>
      <c r="P70" s="176"/>
      <c r="Q70" s="176"/>
    </row>
    <row r="71" spans="1:17" s="13" customFormat="1" ht="18.75">
      <c r="A71" s="46"/>
      <c r="B71" s="186" t="s">
        <v>351</v>
      </c>
      <c r="C71" s="173">
        <f t="shared" si="7"/>
        <v>0</v>
      </c>
      <c r="D71" s="173"/>
      <c r="E71" s="173"/>
      <c r="F71" s="173">
        <f t="shared" si="27"/>
        <v>3871</v>
      </c>
      <c r="G71" s="173"/>
      <c r="H71" s="173"/>
      <c r="I71" s="173"/>
      <c r="J71" s="173"/>
      <c r="K71" s="173">
        <f t="shared" si="9"/>
        <v>1286.4276500000001</v>
      </c>
      <c r="L71" s="173"/>
      <c r="M71" s="173">
        <f>'[2]Bieu 57'!G75</f>
        <v>1286.4276500000001</v>
      </c>
      <c r="N71" s="187">
        <f>'[2]Bieu 57'!I75</f>
        <v>2584.5723499999999</v>
      </c>
      <c r="O71" s="176"/>
      <c r="P71" s="176"/>
      <c r="Q71" s="176"/>
    </row>
    <row r="72" spans="1:17" s="13" customFormat="1" ht="18.75">
      <c r="A72" s="46"/>
      <c r="B72" s="186" t="s">
        <v>352</v>
      </c>
      <c r="C72" s="173">
        <f t="shared" si="7"/>
        <v>0</v>
      </c>
      <c r="D72" s="173"/>
      <c r="E72" s="173"/>
      <c r="F72" s="173">
        <f t="shared" si="27"/>
        <v>852.36</v>
      </c>
      <c r="G72" s="173"/>
      <c r="H72" s="173"/>
      <c r="I72" s="173"/>
      <c r="J72" s="173"/>
      <c r="K72" s="173">
        <f t="shared" si="9"/>
        <v>472.48</v>
      </c>
      <c r="L72" s="173"/>
      <c r="M72" s="173">
        <f>'[2]Bieu 57'!G76</f>
        <v>472.48</v>
      </c>
      <c r="N72" s="187">
        <f>'[2]Bieu 57'!I76</f>
        <v>379.88</v>
      </c>
      <c r="O72" s="176"/>
      <c r="P72" s="176"/>
      <c r="Q72" s="176"/>
    </row>
    <row r="73" spans="1:17" s="13" customFormat="1" ht="18.75">
      <c r="A73" s="48" t="s">
        <v>159</v>
      </c>
      <c r="B73" s="188" t="s">
        <v>166</v>
      </c>
      <c r="C73" s="173">
        <f>SUM(C74:C76)</f>
        <v>6079.4620000000004</v>
      </c>
      <c r="D73" s="173">
        <f t="shared" ref="D73:N73" si="28">SUM(D74:D76)</f>
        <v>0</v>
      </c>
      <c r="E73" s="173">
        <f t="shared" si="28"/>
        <v>6079.4620000000004</v>
      </c>
      <c r="F73" s="173">
        <f>SUM(F74:F76)</f>
        <v>5839.4336270000003</v>
      </c>
      <c r="G73" s="173">
        <f t="shared" si="28"/>
        <v>0</v>
      </c>
      <c r="H73" s="173">
        <f t="shared" si="28"/>
        <v>5839.1884929999997</v>
      </c>
      <c r="I73" s="173">
        <f t="shared" si="28"/>
        <v>0</v>
      </c>
      <c r="J73" s="173">
        <f t="shared" si="28"/>
        <v>0</v>
      </c>
      <c r="K73" s="173">
        <f t="shared" si="28"/>
        <v>0</v>
      </c>
      <c r="L73" s="173">
        <f t="shared" si="28"/>
        <v>0</v>
      </c>
      <c r="M73" s="173">
        <f t="shared" si="28"/>
        <v>0</v>
      </c>
      <c r="N73" s="173">
        <f t="shared" si="28"/>
        <v>0.24513399999999999</v>
      </c>
      <c r="O73" s="176">
        <f t="shared" si="3"/>
        <v>96.051815555389609</v>
      </c>
      <c r="P73" s="176"/>
      <c r="Q73" s="176">
        <f t="shared" si="4"/>
        <v>96.04778338938543</v>
      </c>
    </row>
    <row r="74" spans="1:17" s="13" customFormat="1" ht="18.75">
      <c r="A74" s="48"/>
      <c r="B74" s="186" t="s">
        <v>144</v>
      </c>
      <c r="C74" s="173">
        <f t="shared" si="7"/>
        <v>1878.3110000000006</v>
      </c>
      <c r="D74" s="173"/>
      <c r="E74" s="173">
        <f>'[2]Bieu 57'!C78</f>
        <v>1878.3110000000006</v>
      </c>
      <c r="F74" s="173">
        <f t="shared" si="27"/>
        <v>1853.9466260000002</v>
      </c>
      <c r="G74" s="173"/>
      <c r="H74" s="173">
        <f>'[2]Bieu 57'!G78</f>
        <v>1853.7014920000001</v>
      </c>
      <c r="I74" s="173"/>
      <c r="J74" s="173"/>
      <c r="K74" s="173">
        <f t="shared" si="9"/>
        <v>0</v>
      </c>
      <c r="L74" s="173"/>
      <c r="M74" s="173"/>
      <c r="N74" s="187">
        <f>'[2]Bieu 57'!I78</f>
        <v>0.24513399999999999</v>
      </c>
      <c r="O74" s="176">
        <f t="shared" si="3"/>
        <v>98.702857301053953</v>
      </c>
      <c r="P74" s="176"/>
      <c r="Q74" s="176">
        <f t="shared" si="4"/>
        <v>98.689806533635789</v>
      </c>
    </row>
    <row r="75" spans="1:17" s="13" customFormat="1" ht="18.75">
      <c r="A75" s="48"/>
      <c r="B75" s="186" t="s">
        <v>323</v>
      </c>
      <c r="C75" s="173">
        <f t="shared" si="7"/>
        <v>14.093</v>
      </c>
      <c r="D75" s="173"/>
      <c r="E75" s="173">
        <f>'[2]Bieu 57'!C79</f>
        <v>14.093</v>
      </c>
      <c r="F75" s="173">
        <f t="shared" si="27"/>
        <v>14.09</v>
      </c>
      <c r="G75" s="173"/>
      <c r="H75" s="173">
        <f>'[2]Bieu 57'!G79</f>
        <v>14.09</v>
      </c>
      <c r="I75" s="173"/>
      <c r="J75" s="173"/>
      <c r="K75" s="173">
        <f t="shared" si="9"/>
        <v>0</v>
      </c>
      <c r="L75" s="173"/>
      <c r="M75" s="173"/>
      <c r="N75" s="187">
        <f>'[2]Bieu 57'!I79</f>
        <v>0</v>
      </c>
      <c r="O75" s="176">
        <f t="shared" si="3"/>
        <v>99.978712836159801</v>
      </c>
      <c r="P75" s="176"/>
      <c r="Q75" s="176">
        <f t="shared" si="4"/>
        <v>99.978712836159801</v>
      </c>
    </row>
    <row r="76" spans="1:17" s="13" customFormat="1" ht="18.75">
      <c r="A76" s="48"/>
      <c r="B76" s="186" t="s">
        <v>353</v>
      </c>
      <c r="C76" s="173">
        <f t="shared" si="7"/>
        <v>4187.058</v>
      </c>
      <c r="D76" s="173"/>
      <c r="E76" s="173">
        <f>'[2]Bieu 57'!C80</f>
        <v>4187.058</v>
      </c>
      <c r="F76" s="173">
        <f t="shared" si="27"/>
        <v>3971.3970009999998</v>
      </c>
      <c r="G76" s="173"/>
      <c r="H76" s="173">
        <f>'[2]Bieu 57'!G80</f>
        <v>3971.3970009999998</v>
      </c>
      <c r="I76" s="173"/>
      <c r="J76" s="173"/>
      <c r="K76" s="173">
        <f t="shared" si="9"/>
        <v>0</v>
      </c>
      <c r="L76" s="173"/>
      <c r="M76" s="173"/>
      <c r="N76" s="187">
        <f>'[2]Bieu 57'!I80</f>
        <v>0</v>
      </c>
      <c r="O76" s="176">
        <f t="shared" si="3"/>
        <v>94.849342927659464</v>
      </c>
      <c r="P76" s="176"/>
      <c r="Q76" s="176">
        <f t="shared" si="4"/>
        <v>94.849342927659464</v>
      </c>
    </row>
    <row r="77" spans="1:17" s="13" customFormat="1" ht="18.75">
      <c r="A77" s="82" t="s">
        <v>165</v>
      </c>
      <c r="B77" s="189" t="s">
        <v>168</v>
      </c>
      <c r="C77" s="182">
        <f>SUM(C78:C84)</f>
        <v>19818.98</v>
      </c>
      <c r="D77" s="182">
        <f t="shared" ref="D77:N77" si="29">SUM(D78:D84)</f>
        <v>0</v>
      </c>
      <c r="E77" s="182">
        <f t="shared" si="29"/>
        <v>19818.98</v>
      </c>
      <c r="F77" s="182">
        <f t="shared" si="29"/>
        <v>19683.154426000001</v>
      </c>
      <c r="G77" s="182">
        <f t="shared" si="29"/>
        <v>0</v>
      </c>
      <c r="H77" s="182">
        <f t="shared" si="29"/>
        <v>19075.974523000001</v>
      </c>
      <c r="I77" s="182">
        <f t="shared" si="29"/>
        <v>0</v>
      </c>
      <c r="J77" s="182">
        <f t="shared" si="29"/>
        <v>0</v>
      </c>
      <c r="K77" s="182">
        <f t="shared" si="29"/>
        <v>357.40519999999998</v>
      </c>
      <c r="L77" s="182">
        <f t="shared" si="29"/>
        <v>0</v>
      </c>
      <c r="M77" s="182">
        <f t="shared" si="29"/>
        <v>357.40519999999998</v>
      </c>
      <c r="N77" s="182">
        <f t="shared" si="29"/>
        <v>249.77470299999999</v>
      </c>
      <c r="O77" s="183">
        <f t="shared" si="3"/>
        <v>99.314669200937686</v>
      </c>
      <c r="P77" s="183"/>
      <c r="Q77" s="183">
        <f t="shared" si="4"/>
        <v>96.251040785146373</v>
      </c>
    </row>
    <row r="78" spans="1:17" s="13" customFormat="1" ht="18.75">
      <c r="A78" s="46"/>
      <c r="B78" s="188" t="s">
        <v>144</v>
      </c>
      <c r="C78" s="173">
        <f t="shared" si="7"/>
        <v>3373.0379999999996</v>
      </c>
      <c r="D78" s="173"/>
      <c r="E78" s="173">
        <f>'[2]Bieu 57'!C82</f>
        <v>3373.0379999999996</v>
      </c>
      <c r="F78" s="173">
        <f>G78+H78+I78+J78+K78+N78</f>
        <v>3316.3112660000002</v>
      </c>
      <c r="G78" s="173"/>
      <c r="H78" s="173">
        <f>'[2]Bieu 57'!G82</f>
        <v>3309.131363</v>
      </c>
      <c r="I78" s="173"/>
      <c r="J78" s="173"/>
      <c r="K78" s="173">
        <f t="shared" si="9"/>
        <v>0</v>
      </c>
      <c r="L78" s="173"/>
      <c r="M78" s="173"/>
      <c r="N78" s="187">
        <f>'[2]Bieu 57'!I82</f>
        <v>7.1799030000000004</v>
      </c>
      <c r="O78" s="176">
        <f t="shared" si="3"/>
        <v>98.318230212645119</v>
      </c>
      <c r="P78" s="176"/>
      <c r="Q78" s="176">
        <f t="shared" si="4"/>
        <v>98.105368602429039</v>
      </c>
    </row>
    <row r="79" spans="1:17" s="15" customFormat="1" ht="19.5">
      <c r="A79" s="46"/>
      <c r="B79" s="188" t="s">
        <v>169</v>
      </c>
      <c r="C79" s="173">
        <f t="shared" si="7"/>
        <v>1608.7449999999999</v>
      </c>
      <c r="D79" s="173"/>
      <c r="E79" s="173">
        <f>'[2]Bieu 57'!C83</f>
        <v>1608.7449999999999</v>
      </c>
      <c r="F79" s="173">
        <f t="shared" ref="F79:F107" si="30">G79+H79+I79+J79+K79+N79</f>
        <v>1596.6410080000001</v>
      </c>
      <c r="G79" s="173"/>
      <c r="H79" s="173">
        <f>'[2]Bieu 57'!G83</f>
        <v>1596.6410080000001</v>
      </c>
      <c r="I79" s="173"/>
      <c r="J79" s="173"/>
      <c r="K79" s="173">
        <f t="shared" si="9"/>
        <v>0</v>
      </c>
      <c r="L79" s="173"/>
      <c r="M79" s="173"/>
      <c r="N79" s="187">
        <f>'[2]Bieu 57'!I83</f>
        <v>0</v>
      </c>
      <c r="O79" s="176">
        <f t="shared" si="3"/>
        <v>99.247612766473253</v>
      </c>
      <c r="P79" s="176"/>
      <c r="Q79" s="176">
        <f t="shared" si="4"/>
        <v>99.247612766473253</v>
      </c>
    </row>
    <row r="80" spans="1:17" s="15" customFormat="1" ht="19.5">
      <c r="A80" s="46"/>
      <c r="B80" s="188" t="s">
        <v>170</v>
      </c>
      <c r="C80" s="173">
        <f t="shared" si="7"/>
        <v>4846.6589999999997</v>
      </c>
      <c r="D80" s="173"/>
      <c r="E80" s="173">
        <f>'[2]Bieu 57'!C84</f>
        <v>4846.6589999999997</v>
      </c>
      <c r="F80" s="173">
        <f t="shared" si="30"/>
        <v>4784.4554959999996</v>
      </c>
      <c r="G80" s="173"/>
      <c r="H80" s="173">
        <f>'[2]Bieu 57'!G84</f>
        <v>4784.4554959999996</v>
      </c>
      <c r="I80" s="173"/>
      <c r="J80" s="173"/>
      <c r="K80" s="173">
        <f t="shared" si="9"/>
        <v>0</v>
      </c>
      <c r="L80" s="173"/>
      <c r="M80" s="173"/>
      <c r="N80" s="187">
        <f>'[2]Bieu 57'!I84</f>
        <v>0</v>
      </c>
      <c r="O80" s="176">
        <f t="shared" si="3"/>
        <v>98.716569414105663</v>
      </c>
      <c r="P80" s="176"/>
      <c r="Q80" s="176">
        <f t="shared" si="4"/>
        <v>98.716569414105663</v>
      </c>
    </row>
    <row r="81" spans="1:17" s="41" customFormat="1" ht="18.75">
      <c r="A81" s="46"/>
      <c r="B81" s="188" t="s">
        <v>171</v>
      </c>
      <c r="C81" s="173">
        <f t="shared" si="7"/>
        <v>6554.4669999999996</v>
      </c>
      <c r="D81" s="173"/>
      <c r="E81" s="173">
        <f>'[2]Bieu 57'!C85</f>
        <v>6554.4669999999996</v>
      </c>
      <c r="F81" s="173">
        <f t="shared" si="30"/>
        <v>6403.0295800000004</v>
      </c>
      <c r="G81" s="173"/>
      <c r="H81" s="173">
        <f>'[2]Bieu 57'!G85</f>
        <v>6403.0295800000004</v>
      </c>
      <c r="I81" s="173"/>
      <c r="J81" s="173"/>
      <c r="K81" s="173">
        <f t="shared" si="9"/>
        <v>0</v>
      </c>
      <c r="L81" s="173"/>
      <c r="M81" s="173"/>
      <c r="N81" s="187">
        <f>'[2]Bieu 57'!I85</f>
        <v>0</v>
      </c>
      <c r="O81" s="176">
        <f t="shared" si="3"/>
        <v>97.689554009502231</v>
      </c>
      <c r="P81" s="176"/>
      <c r="Q81" s="176">
        <f t="shared" si="4"/>
        <v>97.689554009502231</v>
      </c>
    </row>
    <row r="82" spans="1:17" s="42" customFormat="1" ht="18.75">
      <c r="A82" s="46"/>
      <c r="B82" s="188" t="s">
        <v>172</v>
      </c>
      <c r="C82" s="173">
        <f t="shared" si="7"/>
        <v>3433.2709999999997</v>
      </c>
      <c r="D82" s="173"/>
      <c r="E82" s="173">
        <f>'[2]Bieu 57'!C86</f>
        <v>3433.2709999999997</v>
      </c>
      <c r="F82" s="173">
        <f t="shared" si="30"/>
        <v>2979.9170760000002</v>
      </c>
      <c r="G82" s="173"/>
      <c r="H82" s="173">
        <f>'[2]Bieu 57'!G86</f>
        <v>2979.9170760000002</v>
      </c>
      <c r="I82" s="173"/>
      <c r="J82" s="173"/>
      <c r="K82" s="173">
        <f t="shared" si="9"/>
        <v>0</v>
      </c>
      <c r="L82" s="173"/>
      <c r="M82" s="173"/>
      <c r="N82" s="187">
        <f>'[2]Bieu 57'!I86</f>
        <v>0</v>
      </c>
      <c r="O82" s="176">
        <f t="shared" si="3"/>
        <v>86.795277040466672</v>
      </c>
      <c r="P82" s="176"/>
      <c r="Q82" s="176">
        <f t="shared" si="4"/>
        <v>86.795277040466672</v>
      </c>
    </row>
    <row r="83" spans="1:17" s="42" customFormat="1" ht="18.75">
      <c r="A83" s="46"/>
      <c r="B83" s="188" t="s">
        <v>323</v>
      </c>
      <c r="C83" s="173">
        <f t="shared" si="7"/>
        <v>2.8</v>
      </c>
      <c r="D83" s="173"/>
      <c r="E83" s="173">
        <f>'[2]Bieu 57'!C87</f>
        <v>2.8</v>
      </c>
      <c r="F83" s="173">
        <f t="shared" si="30"/>
        <v>2.8</v>
      </c>
      <c r="G83" s="173"/>
      <c r="H83" s="173">
        <f>'[2]Bieu 57'!G87</f>
        <v>2.8</v>
      </c>
      <c r="I83" s="173"/>
      <c r="J83" s="173"/>
      <c r="K83" s="173">
        <f t="shared" si="9"/>
        <v>0</v>
      </c>
      <c r="L83" s="173"/>
      <c r="M83" s="173"/>
      <c r="N83" s="187"/>
      <c r="O83" s="176"/>
      <c r="P83" s="176"/>
      <c r="Q83" s="176"/>
    </row>
    <row r="84" spans="1:17" s="42" customFormat="1" ht="18.75">
      <c r="A84" s="46"/>
      <c r="B84" s="188" t="s">
        <v>291</v>
      </c>
      <c r="C84" s="173">
        <f t="shared" si="7"/>
        <v>0</v>
      </c>
      <c r="D84" s="173"/>
      <c r="E84" s="173"/>
      <c r="F84" s="173">
        <f t="shared" si="30"/>
        <v>600</v>
      </c>
      <c r="G84" s="173"/>
      <c r="H84" s="173"/>
      <c r="I84" s="173"/>
      <c r="J84" s="173"/>
      <c r="K84" s="173">
        <f t="shared" si="9"/>
        <v>357.40519999999998</v>
      </c>
      <c r="L84" s="173"/>
      <c r="M84" s="173">
        <f>'[2]Bieu 57'!G88</f>
        <v>357.40519999999998</v>
      </c>
      <c r="N84" s="187">
        <f>'[2]Bieu 57'!I88</f>
        <v>242.59479999999999</v>
      </c>
      <c r="O84" s="176"/>
      <c r="P84" s="176"/>
      <c r="Q84" s="176"/>
    </row>
    <row r="85" spans="1:17" s="42" customFormat="1" ht="18.75">
      <c r="A85" s="48" t="s">
        <v>392</v>
      </c>
      <c r="B85" s="188" t="s">
        <v>174</v>
      </c>
      <c r="C85" s="173">
        <f>SUM(C86:C87)</f>
        <v>1211.675</v>
      </c>
      <c r="D85" s="173">
        <f t="shared" ref="D85:M85" si="31">SUM(D86:D87)</f>
        <v>0</v>
      </c>
      <c r="E85" s="173">
        <f t="shared" si="31"/>
        <v>1211.675</v>
      </c>
      <c r="F85" s="173">
        <f t="shared" si="31"/>
        <v>1211.6745000000001</v>
      </c>
      <c r="G85" s="173">
        <f t="shared" si="31"/>
        <v>0</v>
      </c>
      <c r="H85" s="173">
        <f t="shared" si="31"/>
        <v>1211.6745000000001</v>
      </c>
      <c r="I85" s="173">
        <f t="shared" si="31"/>
        <v>0</v>
      </c>
      <c r="J85" s="173">
        <f t="shared" si="31"/>
        <v>0</v>
      </c>
      <c r="K85" s="173">
        <f t="shared" si="31"/>
        <v>0</v>
      </c>
      <c r="L85" s="173">
        <f t="shared" si="31"/>
        <v>0</v>
      </c>
      <c r="M85" s="173">
        <f t="shared" si="31"/>
        <v>0</v>
      </c>
      <c r="N85" s="187">
        <f>'[2]Bieu 57'!I89</f>
        <v>0</v>
      </c>
      <c r="O85" s="176">
        <f t="shared" si="3"/>
        <v>99.999958734809255</v>
      </c>
      <c r="P85" s="176"/>
      <c r="Q85" s="176">
        <f t="shared" si="4"/>
        <v>99.999958734809255</v>
      </c>
    </row>
    <row r="86" spans="1:17" s="14" customFormat="1" ht="18.75">
      <c r="A86" s="48"/>
      <c r="B86" s="188" t="s">
        <v>393</v>
      </c>
      <c r="C86" s="173">
        <f t="shared" si="7"/>
        <v>1194.712</v>
      </c>
      <c r="D86" s="173"/>
      <c r="E86" s="173">
        <f>'[2]Bieu 57'!C89</f>
        <v>1194.712</v>
      </c>
      <c r="F86" s="173">
        <f t="shared" si="30"/>
        <v>1194.712</v>
      </c>
      <c r="G86" s="173"/>
      <c r="H86" s="173">
        <f>'[2]Bieu 57'!G89</f>
        <v>1194.712</v>
      </c>
      <c r="I86" s="173"/>
      <c r="J86" s="173"/>
      <c r="K86" s="173">
        <f t="shared" si="9"/>
        <v>0</v>
      </c>
      <c r="L86" s="173"/>
      <c r="M86" s="173"/>
      <c r="N86" s="187"/>
      <c r="O86" s="176">
        <f t="shared" si="3"/>
        <v>100</v>
      </c>
      <c r="P86" s="176"/>
      <c r="Q86" s="176">
        <f t="shared" si="4"/>
        <v>100</v>
      </c>
    </row>
    <row r="87" spans="1:17" s="13" customFormat="1" ht="18.75">
      <c r="A87" s="48"/>
      <c r="B87" s="188" t="s">
        <v>323</v>
      </c>
      <c r="C87" s="173">
        <f t="shared" si="7"/>
        <v>16.963000000000001</v>
      </c>
      <c r="D87" s="173"/>
      <c r="E87" s="173">
        <f>'[2]Bieu 57'!C90+'[2]Bieu 57'!C91</f>
        <v>16.963000000000001</v>
      </c>
      <c r="F87" s="173">
        <f t="shared" si="30"/>
        <v>16.962499999999999</v>
      </c>
      <c r="G87" s="173"/>
      <c r="H87" s="173">
        <f>'[2]Bieu 57'!G90+'[2]Bieu 57'!G91</f>
        <v>16.962499999999999</v>
      </c>
      <c r="I87" s="173"/>
      <c r="J87" s="173"/>
      <c r="K87" s="173">
        <f t="shared" si="9"/>
        <v>0</v>
      </c>
      <c r="L87" s="173"/>
      <c r="M87" s="173"/>
      <c r="N87" s="187"/>
      <c r="O87" s="176">
        <f t="shared" si="3"/>
        <v>99.997052408182498</v>
      </c>
      <c r="P87" s="176"/>
      <c r="Q87" s="176">
        <f t="shared" si="4"/>
        <v>99.997052408182498</v>
      </c>
    </row>
    <row r="88" spans="1:17" s="13" customFormat="1" ht="18.75">
      <c r="A88" s="48" t="s">
        <v>167</v>
      </c>
      <c r="B88" s="188" t="s">
        <v>176</v>
      </c>
      <c r="C88" s="173">
        <f>SUM(C89:C90)</f>
        <v>1351.3329999999999</v>
      </c>
      <c r="D88" s="173">
        <f t="shared" ref="D88:N88" si="32">SUM(D89:D90)</f>
        <v>0</v>
      </c>
      <c r="E88" s="173">
        <f t="shared" si="32"/>
        <v>1351.3329999999999</v>
      </c>
      <c r="F88" s="173">
        <f t="shared" si="32"/>
        <v>1348.3247419999998</v>
      </c>
      <c r="G88" s="173">
        <f t="shared" si="32"/>
        <v>0</v>
      </c>
      <c r="H88" s="173">
        <f t="shared" si="32"/>
        <v>1348.3247419999998</v>
      </c>
      <c r="I88" s="173">
        <f t="shared" si="32"/>
        <v>0</v>
      </c>
      <c r="J88" s="173">
        <f t="shared" si="32"/>
        <v>0</v>
      </c>
      <c r="K88" s="173">
        <f t="shared" si="32"/>
        <v>0</v>
      </c>
      <c r="L88" s="173">
        <f t="shared" si="32"/>
        <v>0</v>
      </c>
      <c r="M88" s="173">
        <f t="shared" si="32"/>
        <v>0</v>
      </c>
      <c r="N88" s="173">
        <f t="shared" si="32"/>
        <v>0</v>
      </c>
      <c r="O88" s="176">
        <f t="shared" si="3"/>
        <v>99.777385884900312</v>
      </c>
      <c r="P88" s="176"/>
      <c r="Q88" s="176">
        <f t="shared" si="4"/>
        <v>99.777385884900312</v>
      </c>
    </row>
    <row r="89" spans="1:17" s="13" customFormat="1" ht="18.75">
      <c r="A89" s="48"/>
      <c r="B89" s="188" t="s">
        <v>393</v>
      </c>
      <c r="C89" s="173">
        <f t="shared" si="7"/>
        <v>1343.5329999999999</v>
      </c>
      <c r="D89" s="173"/>
      <c r="E89" s="173">
        <f>'[2]Bieu 57'!C92</f>
        <v>1343.5329999999999</v>
      </c>
      <c r="F89" s="173">
        <f t="shared" si="30"/>
        <v>1340.5247419999998</v>
      </c>
      <c r="G89" s="173"/>
      <c r="H89" s="173">
        <f>'[2]Bieu 57'!G92</f>
        <v>1340.5247419999998</v>
      </c>
      <c r="I89" s="173"/>
      <c r="J89" s="173"/>
      <c r="K89" s="173">
        <f t="shared" si="9"/>
        <v>0</v>
      </c>
      <c r="L89" s="173"/>
      <c r="M89" s="173"/>
      <c r="N89" s="187"/>
      <c r="O89" s="176">
        <f t="shared" si="3"/>
        <v>99.776093478909701</v>
      </c>
      <c r="P89" s="176"/>
      <c r="Q89" s="176">
        <f t="shared" si="4"/>
        <v>99.776093478909701</v>
      </c>
    </row>
    <row r="90" spans="1:17" s="13" customFormat="1" ht="18.75">
      <c r="A90" s="48"/>
      <c r="B90" s="188" t="s">
        <v>323</v>
      </c>
      <c r="C90" s="173">
        <f t="shared" si="7"/>
        <v>7.8</v>
      </c>
      <c r="D90" s="173"/>
      <c r="E90" s="173">
        <f>'[2]Bieu 57'!C93</f>
        <v>7.8</v>
      </c>
      <c r="F90" s="173">
        <f t="shared" si="30"/>
        <v>7.8</v>
      </c>
      <c r="G90" s="173"/>
      <c r="H90" s="173">
        <f>'[2]Bieu 57'!G93</f>
        <v>7.8</v>
      </c>
      <c r="I90" s="173"/>
      <c r="J90" s="173"/>
      <c r="K90" s="173">
        <f t="shared" si="9"/>
        <v>0</v>
      </c>
      <c r="L90" s="173"/>
      <c r="M90" s="173"/>
      <c r="N90" s="187"/>
      <c r="O90" s="176">
        <f t="shared" si="3"/>
        <v>100</v>
      </c>
      <c r="P90" s="176"/>
      <c r="Q90" s="176">
        <f t="shared" si="4"/>
        <v>100</v>
      </c>
    </row>
    <row r="91" spans="1:17" s="13" customFormat="1" ht="18.75">
      <c r="A91" s="48" t="s">
        <v>394</v>
      </c>
      <c r="B91" s="188" t="s">
        <v>178</v>
      </c>
      <c r="C91" s="173">
        <f t="shared" si="7"/>
        <v>1204.76</v>
      </c>
      <c r="D91" s="173"/>
      <c r="E91" s="173">
        <f>'[2]Bieu 57'!C94</f>
        <v>1204.76</v>
      </c>
      <c r="F91" s="173">
        <f t="shared" si="30"/>
        <v>1199.7942410000001</v>
      </c>
      <c r="G91" s="173"/>
      <c r="H91" s="173">
        <f>'[2]Bieu 57'!G94</f>
        <v>1199.7942410000001</v>
      </c>
      <c r="I91" s="173"/>
      <c r="J91" s="173"/>
      <c r="K91" s="173">
        <f t="shared" si="9"/>
        <v>0</v>
      </c>
      <c r="L91" s="173"/>
      <c r="M91" s="173"/>
      <c r="N91" s="187">
        <f>'[2]Bieu 57'!I94</f>
        <v>0</v>
      </c>
      <c r="O91" s="176">
        <f>F91/C91*100</f>
        <v>99.587821723828824</v>
      </c>
      <c r="P91" s="176"/>
      <c r="Q91" s="176">
        <f t="shared" si="4"/>
        <v>99.587821723828824</v>
      </c>
    </row>
    <row r="92" spans="1:17" s="13" customFormat="1" ht="18.75">
      <c r="A92" s="48" t="s">
        <v>173</v>
      </c>
      <c r="B92" s="188" t="s">
        <v>180</v>
      </c>
      <c r="C92" s="173">
        <f t="shared" si="7"/>
        <v>1696.0630000000001</v>
      </c>
      <c r="D92" s="173"/>
      <c r="E92" s="173">
        <f>'[2]Bieu 57'!C95</f>
        <v>1696.0630000000001</v>
      </c>
      <c r="F92" s="173">
        <f t="shared" si="30"/>
        <v>1696.0626559999998</v>
      </c>
      <c r="G92" s="173"/>
      <c r="H92" s="173">
        <f>'[2]Bieu 57'!G95</f>
        <v>1695.7993199999999</v>
      </c>
      <c r="I92" s="173"/>
      <c r="J92" s="173"/>
      <c r="K92" s="173">
        <f t="shared" si="9"/>
        <v>0</v>
      </c>
      <c r="L92" s="173"/>
      <c r="M92" s="173"/>
      <c r="N92" s="187">
        <f>'[2]Bieu 57'!I95</f>
        <v>0.26333600000000001</v>
      </c>
      <c r="O92" s="176">
        <f t="shared" si="3"/>
        <v>99.999979717734519</v>
      </c>
      <c r="P92" s="176"/>
      <c r="Q92" s="176">
        <f t="shared" si="4"/>
        <v>99.984453407685905</v>
      </c>
    </row>
    <row r="93" spans="1:17" s="13" customFormat="1" ht="18.75">
      <c r="A93" s="48" t="s">
        <v>175</v>
      </c>
      <c r="B93" s="188" t="s">
        <v>182</v>
      </c>
      <c r="C93" s="173">
        <f t="shared" si="7"/>
        <v>496.24900000000002</v>
      </c>
      <c r="D93" s="173"/>
      <c r="E93" s="173">
        <f>'[2]Bieu 57'!C96</f>
        <v>496.24900000000002</v>
      </c>
      <c r="F93" s="173">
        <f t="shared" si="30"/>
        <v>496.05955899999998</v>
      </c>
      <c r="G93" s="173"/>
      <c r="H93" s="173">
        <f>'[2]Bieu 57'!G96</f>
        <v>492.810427</v>
      </c>
      <c r="I93" s="173"/>
      <c r="J93" s="173"/>
      <c r="K93" s="173">
        <f t="shared" si="9"/>
        <v>0</v>
      </c>
      <c r="L93" s="173"/>
      <c r="M93" s="173"/>
      <c r="N93" s="187">
        <f>'[2]Bieu 57'!I96</f>
        <v>3.2491319999999999</v>
      </c>
      <c r="O93" s="176">
        <f t="shared" si="3"/>
        <v>99.96182541425776</v>
      </c>
      <c r="P93" s="176"/>
      <c r="Q93" s="176">
        <f t="shared" si="4"/>
        <v>99.307087167933844</v>
      </c>
    </row>
    <row r="94" spans="1:17" s="13" customFormat="1" ht="18.75">
      <c r="A94" s="48" t="s">
        <v>177</v>
      </c>
      <c r="B94" s="188" t="s">
        <v>184</v>
      </c>
      <c r="C94" s="173">
        <f t="shared" si="7"/>
        <v>252.05600000000001</v>
      </c>
      <c r="D94" s="173"/>
      <c r="E94" s="173">
        <f>'[2]Bieu 57'!C97</f>
        <v>252.05600000000001</v>
      </c>
      <c r="F94" s="173">
        <f t="shared" si="30"/>
        <v>252.05409900000001</v>
      </c>
      <c r="G94" s="173"/>
      <c r="H94" s="173">
        <f>'[2]Bieu 57'!G97</f>
        <v>252.05373</v>
      </c>
      <c r="I94" s="173"/>
      <c r="J94" s="173"/>
      <c r="K94" s="173">
        <f t="shared" si="9"/>
        <v>0</v>
      </c>
      <c r="L94" s="173"/>
      <c r="M94" s="173"/>
      <c r="N94" s="187">
        <f>'[2]Bieu 57'!I97</f>
        <v>3.6900000000000002E-4</v>
      </c>
      <c r="O94" s="176">
        <f t="shared" si="3"/>
        <v>99.999245802520079</v>
      </c>
      <c r="P94" s="176"/>
      <c r="Q94" s="176">
        <f t="shared" si="4"/>
        <v>99.999099406481093</v>
      </c>
    </row>
    <row r="95" spans="1:17" s="13" customFormat="1" ht="18.75">
      <c r="A95" s="48" t="s">
        <v>179</v>
      </c>
      <c r="B95" s="188" t="s">
        <v>186</v>
      </c>
      <c r="C95" s="173">
        <f t="shared" si="7"/>
        <v>63.432280000000006</v>
      </c>
      <c r="D95" s="173"/>
      <c r="E95" s="173">
        <f>'[2]Bieu 57'!C98</f>
        <v>63.432280000000006</v>
      </c>
      <c r="F95" s="173">
        <f t="shared" si="30"/>
        <v>63.432279999999999</v>
      </c>
      <c r="G95" s="173"/>
      <c r="H95" s="173">
        <f>'[2]Bieu 57'!G98</f>
        <v>63.432279999999999</v>
      </c>
      <c r="I95" s="173"/>
      <c r="J95" s="173"/>
      <c r="K95" s="173">
        <f t="shared" si="9"/>
        <v>0</v>
      </c>
      <c r="L95" s="173"/>
      <c r="M95" s="173"/>
      <c r="N95" s="187">
        <f>'[2]Bieu 57'!I98</f>
        <v>0</v>
      </c>
      <c r="O95" s="176">
        <f t="shared" si="3"/>
        <v>99.999999999999986</v>
      </c>
      <c r="P95" s="176"/>
      <c r="Q95" s="176">
        <f t="shared" si="4"/>
        <v>99.999999999999986</v>
      </c>
    </row>
    <row r="96" spans="1:17" s="13" customFormat="1" ht="18.75">
      <c r="A96" s="48" t="s">
        <v>181</v>
      </c>
      <c r="B96" s="188" t="s">
        <v>188</v>
      </c>
      <c r="C96" s="173">
        <f t="shared" si="7"/>
        <v>104.41200000000001</v>
      </c>
      <c r="D96" s="173"/>
      <c r="E96" s="173">
        <f>'[2]Bieu 57'!C99</f>
        <v>104.41200000000001</v>
      </c>
      <c r="F96" s="173">
        <f t="shared" si="30"/>
        <v>89.411799999999999</v>
      </c>
      <c r="G96" s="173"/>
      <c r="H96" s="173">
        <f>'[2]Bieu 57'!G99</f>
        <v>89.411799999999999</v>
      </c>
      <c r="I96" s="173"/>
      <c r="J96" s="173"/>
      <c r="K96" s="173">
        <f t="shared" si="9"/>
        <v>0</v>
      </c>
      <c r="L96" s="173"/>
      <c r="M96" s="173"/>
      <c r="N96" s="187">
        <f>'[2]Bieu 57'!I99</f>
        <v>0</v>
      </c>
      <c r="O96" s="176">
        <f t="shared" si="3"/>
        <v>85.633643642493197</v>
      </c>
      <c r="P96" s="176"/>
      <c r="Q96" s="176">
        <f t="shared" si="4"/>
        <v>85.633643642493197</v>
      </c>
    </row>
    <row r="97" spans="1:17" s="13" customFormat="1" ht="18.75">
      <c r="A97" s="48" t="s">
        <v>183</v>
      </c>
      <c r="B97" s="188" t="s">
        <v>190</v>
      </c>
      <c r="C97" s="173">
        <f t="shared" si="7"/>
        <v>770.93899999999996</v>
      </c>
      <c r="D97" s="173"/>
      <c r="E97" s="173">
        <f>'[2]Bieu 57'!C100</f>
        <v>770.93899999999996</v>
      </c>
      <c r="F97" s="173">
        <f t="shared" si="30"/>
        <v>717.25877300000002</v>
      </c>
      <c r="G97" s="173"/>
      <c r="H97" s="173">
        <f>'[2]Bieu 57'!G100</f>
        <v>717.25851299999999</v>
      </c>
      <c r="I97" s="173"/>
      <c r="J97" s="173"/>
      <c r="K97" s="173">
        <f t="shared" si="9"/>
        <v>0</v>
      </c>
      <c r="L97" s="173"/>
      <c r="M97" s="173"/>
      <c r="N97" s="187">
        <f>'[2]Bieu 57'!I100</f>
        <v>2.5999999999999998E-4</v>
      </c>
      <c r="O97" s="176">
        <f t="shared" si="3"/>
        <v>93.037033150482728</v>
      </c>
      <c r="P97" s="176"/>
      <c r="Q97" s="176">
        <f t="shared" si="4"/>
        <v>93.036999425376067</v>
      </c>
    </row>
    <row r="98" spans="1:17" s="13" customFormat="1" ht="18.75">
      <c r="A98" s="48" t="s">
        <v>185</v>
      </c>
      <c r="B98" s="188" t="s">
        <v>192</v>
      </c>
      <c r="C98" s="173">
        <f t="shared" si="7"/>
        <v>51.9</v>
      </c>
      <c r="D98" s="173"/>
      <c r="E98" s="173">
        <f>'[2]Bieu 57'!C101</f>
        <v>51.9</v>
      </c>
      <c r="F98" s="173">
        <f t="shared" si="30"/>
        <v>51.9</v>
      </c>
      <c r="G98" s="173"/>
      <c r="H98" s="173">
        <f>'[2]Bieu 57'!G101</f>
        <v>51.9</v>
      </c>
      <c r="I98" s="173"/>
      <c r="J98" s="173"/>
      <c r="K98" s="173">
        <f t="shared" si="9"/>
        <v>0</v>
      </c>
      <c r="L98" s="173"/>
      <c r="M98" s="173"/>
      <c r="N98" s="187">
        <f>'[2]Bieu 57'!I101</f>
        <v>0</v>
      </c>
      <c r="O98" s="176">
        <f t="shared" si="3"/>
        <v>100</v>
      </c>
      <c r="P98" s="176"/>
      <c r="Q98" s="176">
        <f t="shared" si="4"/>
        <v>100</v>
      </c>
    </row>
    <row r="99" spans="1:17" s="13" customFormat="1" ht="18.75">
      <c r="A99" s="48" t="s">
        <v>187</v>
      </c>
      <c r="B99" s="188" t="s">
        <v>293</v>
      </c>
      <c r="C99" s="173">
        <f t="shared" si="7"/>
        <v>77.700999999999993</v>
      </c>
      <c r="D99" s="173"/>
      <c r="E99" s="173">
        <f>'[2]Bieu 57'!C102</f>
        <v>77.700999999999993</v>
      </c>
      <c r="F99" s="173">
        <f t="shared" si="30"/>
        <v>52.700878000000003</v>
      </c>
      <c r="G99" s="173"/>
      <c r="H99" s="173">
        <f>'[2]Bieu 57'!G102</f>
        <v>52.700878000000003</v>
      </c>
      <c r="I99" s="173"/>
      <c r="J99" s="173"/>
      <c r="K99" s="173">
        <f t="shared" si="9"/>
        <v>0</v>
      </c>
      <c r="L99" s="173"/>
      <c r="M99" s="173"/>
      <c r="N99" s="187">
        <f>'[2]Bieu 57'!I102</f>
        <v>0</v>
      </c>
      <c r="O99" s="176">
        <f t="shared" si="3"/>
        <v>67.825224900580437</v>
      </c>
      <c r="P99" s="176"/>
      <c r="Q99" s="176">
        <f t="shared" si="4"/>
        <v>67.825224900580437</v>
      </c>
    </row>
    <row r="100" spans="1:17" s="13" customFormat="1" ht="18.75">
      <c r="A100" s="48" t="s">
        <v>189</v>
      </c>
      <c r="B100" s="188" t="s">
        <v>196</v>
      </c>
      <c r="C100" s="173">
        <f>D100+E100</f>
        <v>1.9</v>
      </c>
      <c r="D100" s="173"/>
      <c r="E100" s="173">
        <f>'[2]Bieu 57'!C103</f>
        <v>1.9</v>
      </c>
      <c r="F100" s="173">
        <f t="shared" si="30"/>
        <v>1.9</v>
      </c>
      <c r="G100" s="173"/>
      <c r="H100" s="173">
        <f>'[2]Bieu 57'!G103</f>
        <v>1.9</v>
      </c>
      <c r="I100" s="173"/>
      <c r="J100" s="173"/>
      <c r="K100" s="173">
        <f t="shared" si="9"/>
        <v>0</v>
      </c>
      <c r="L100" s="173"/>
      <c r="M100" s="173"/>
      <c r="N100" s="187">
        <f>'[2]Bieu 57'!I103</f>
        <v>0</v>
      </c>
      <c r="O100" s="176">
        <f t="shared" si="3"/>
        <v>100</v>
      </c>
      <c r="P100" s="176"/>
      <c r="Q100" s="176">
        <f t="shared" si="4"/>
        <v>100</v>
      </c>
    </row>
    <row r="101" spans="1:17" s="13" customFormat="1" ht="18.75">
      <c r="A101" s="48"/>
      <c r="B101" s="191" t="s">
        <v>395</v>
      </c>
      <c r="C101" s="173">
        <f t="shared" ref="C101:C102" si="33">D101+E101</f>
        <v>124.636</v>
      </c>
      <c r="D101" s="173"/>
      <c r="E101" s="173">
        <f>'[2]Bieu 57'!C104</f>
        <v>124.636</v>
      </c>
      <c r="F101" s="173">
        <f t="shared" si="30"/>
        <v>124.162756</v>
      </c>
      <c r="G101" s="173"/>
      <c r="H101" s="173">
        <f>'[2]Bieu 57'!G104</f>
        <v>124.162756</v>
      </c>
      <c r="I101" s="173"/>
      <c r="J101" s="173"/>
      <c r="K101" s="173">
        <f t="shared" si="9"/>
        <v>0</v>
      </c>
      <c r="L101" s="173"/>
      <c r="M101" s="173"/>
      <c r="N101" s="187"/>
      <c r="O101" s="176">
        <f t="shared" si="3"/>
        <v>99.620299111011263</v>
      </c>
      <c r="P101" s="176"/>
      <c r="Q101" s="176">
        <f t="shared" si="4"/>
        <v>99.620299111011263</v>
      </c>
    </row>
    <row r="102" spans="1:17" s="13" customFormat="1" ht="18.75">
      <c r="A102" s="48"/>
      <c r="B102" s="191" t="s">
        <v>396</v>
      </c>
      <c r="C102" s="173">
        <f t="shared" si="33"/>
        <v>39.9</v>
      </c>
      <c r="D102" s="173"/>
      <c r="E102" s="173">
        <f>'[2]Bieu 57'!C105</f>
        <v>39.9</v>
      </c>
      <c r="F102" s="173">
        <f t="shared" si="30"/>
        <v>39.9</v>
      </c>
      <c r="G102" s="173"/>
      <c r="H102" s="173">
        <f>'[2]Bieu 57'!G105</f>
        <v>39.9</v>
      </c>
      <c r="I102" s="173"/>
      <c r="J102" s="173"/>
      <c r="K102" s="173">
        <f t="shared" si="9"/>
        <v>0</v>
      </c>
      <c r="L102" s="173"/>
      <c r="M102" s="173"/>
      <c r="N102" s="187"/>
      <c r="O102" s="176">
        <f t="shared" si="3"/>
        <v>100</v>
      </c>
      <c r="P102" s="176"/>
      <c r="Q102" s="176">
        <f t="shared" si="4"/>
        <v>100</v>
      </c>
    </row>
    <row r="103" spans="1:17" s="28" customFormat="1" ht="18.75">
      <c r="A103" s="48" t="s">
        <v>191</v>
      </c>
      <c r="B103" s="192" t="s">
        <v>198</v>
      </c>
      <c r="C103" s="173">
        <f>SUM(C104:C105)</f>
        <v>15157.2991</v>
      </c>
      <c r="D103" s="173">
        <f t="shared" ref="D103:N103" si="34">SUM(D104:D105)</f>
        <v>0</v>
      </c>
      <c r="E103" s="173">
        <f t="shared" si="34"/>
        <v>15157.2991</v>
      </c>
      <c r="F103" s="173">
        <f t="shared" si="34"/>
        <v>15157.299099999998</v>
      </c>
      <c r="G103" s="173">
        <f t="shared" si="34"/>
        <v>0</v>
      </c>
      <c r="H103" s="173">
        <f t="shared" si="34"/>
        <v>15157.299099999998</v>
      </c>
      <c r="I103" s="173">
        <f t="shared" si="34"/>
        <v>0</v>
      </c>
      <c r="J103" s="173">
        <f t="shared" si="34"/>
        <v>0</v>
      </c>
      <c r="K103" s="173">
        <f t="shared" si="34"/>
        <v>0</v>
      </c>
      <c r="L103" s="173">
        <f t="shared" si="34"/>
        <v>0</v>
      </c>
      <c r="M103" s="173">
        <f t="shared" si="34"/>
        <v>0</v>
      </c>
      <c r="N103" s="173">
        <f t="shared" si="34"/>
        <v>0</v>
      </c>
      <c r="O103" s="176">
        <f t="shared" si="3"/>
        <v>99.999999999999986</v>
      </c>
      <c r="P103" s="176"/>
      <c r="Q103" s="176">
        <f t="shared" si="4"/>
        <v>99.999999999999986</v>
      </c>
    </row>
    <row r="104" spans="1:17" s="28" customFormat="1" ht="18.75">
      <c r="A104" s="48"/>
      <c r="B104" s="192" t="s">
        <v>397</v>
      </c>
      <c r="C104" s="173">
        <f t="shared" si="7"/>
        <v>15121.336600000001</v>
      </c>
      <c r="D104" s="173"/>
      <c r="E104" s="173">
        <f>'[2]Bieu 57'!C107</f>
        <v>15121.336600000001</v>
      </c>
      <c r="F104" s="173">
        <f t="shared" si="30"/>
        <v>15121.336599999999</v>
      </c>
      <c r="G104" s="173"/>
      <c r="H104" s="173">
        <f>'[2]Bieu 57'!G107</f>
        <v>15121.336599999999</v>
      </c>
      <c r="I104" s="173"/>
      <c r="J104" s="173"/>
      <c r="K104" s="173">
        <f t="shared" si="9"/>
        <v>0</v>
      </c>
      <c r="L104" s="173"/>
      <c r="M104" s="173"/>
      <c r="N104" s="187"/>
      <c r="O104" s="176">
        <f t="shared" si="3"/>
        <v>99.999999999999986</v>
      </c>
      <c r="P104" s="176"/>
      <c r="Q104" s="176">
        <f t="shared" si="4"/>
        <v>99.999999999999986</v>
      </c>
    </row>
    <row r="105" spans="1:17" s="28" customFormat="1" ht="18.75">
      <c r="A105" s="48"/>
      <c r="B105" s="192" t="s">
        <v>398</v>
      </c>
      <c r="C105" s="173">
        <f t="shared" si="7"/>
        <v>35.962499999999999</v>
      </c>
      <c r="D105" s="173"/>
      <c r="E105" s="173">
        <f>'[2]Bieu 57'!C108+'[2]Bieu 57'!C109</f>
        <v>35.962499999999999</v>
      </c>
      <c r="F105" s="173">
        <f t="shared" si="30"/>
        <v>35.962499999999999</v>
      </c>
      <c r="G105" s="173"/>
      <c r="H105" s="173">
        <f>'[2]Bieu 57'!G108+'[2]Bieu 57'!G109</f>
        <v>35.962499999999999</v>
      </c>
      <c r="I105" s="173"/>
      <c r="J105" s="173"/>
      <c r="K105" s="173">
        <f t="shared" si="9"/>
        <v>0</v>
      </c>
      <c r="L105" s="173"/>
      <c r="M105" s="173"/>
      <c r="N105" s="187"/>
      <c r="O105" s="176">
        <f t="shared" si="3"/>
        <v>100</v>
      </c>
      <c r="P105" s="176"/>
      <c r="Q105" s="176">
        <f t="shared" si="4"/>
        <v>100</v>
      </c>
    </row>
    <row r="106" spans="1:17" s="28" customFormat="1" ht="18.75">
      <c r="A106" s="48" t="s">
        <v>193</v>
      </c>
      <c r="B106" s="188" t="s">
        <v>200</v>
      </c>
      <c r="C106" s="173">
        <f t="shared" si="7"/>
        <v>1535.53</v>
      </c>
      <c r="D106" s="173"/>
      <c r="E106" s="173">
        <f>'[2]Bieu 57'!C110+'[2]Bieu 57'!C111</f>
        <v>1535.53</v>
      </c>
      <c r="F106" s="173">
        <f t="shared" si="30"/>
        <v>1535.52</v>
      </c>
      <c r="G106" s="173"/>
      <c r="H106" s="173">
        <f>'[2]Bieu 57'!G110+'[2]Bieu 57'!G111</f>
        <v>1535.52</v>
      </c>
      <c r="I106" s="173"/>
      <c r="J106" s="173"/>
      <c r="K106" s="173">
        <f t="shared" si="9"/>
        <v>0</v>
      </c>
      <c r="L106" s="173"/>
      <c r="M106" s="173"/>
      <c r="N106" s="187">
        <f>'[2]Bieu 57'!I110</f>
        <v>0</v>
      </c>
      <c r="O106" s="176">
        <f t="shared" si="3"/>
        <v>99.999348759060396</v>
      </c>
      <c r="P106" s="176"/>
      <c r="Q106" s="176">
        <f t="shared" si="4"/>
        <v>99.999348759060396</v>
      </c>
    </row>
    <row r="107" spans="1:17" ht="18.75">
      <c r="A107" s="48" t="s">
        <v>194</v>
      </c>
      <c r="B107" s="188" t="s">
        <v>201</v>
      </c>
      <c r="C107" s="173">
        <f t="shared" si="7"/>
        <v>16187.77</v>
      </c>
      <c r="D107" s="173"/>
      <c r="E107" s="173">
        <f>'[2]Bieu 57'!C112</f>
        <v>16187.77</v>
      </c>
      <c r="F107" s="173">
        <f t="shared" si="30"/>
        <v>16180.137878</v>
      </c>
      <c r="G107" s="173"/>
      <c r="H107" s="173">
        <f>'[2]Bieu 57'!G112</f>
        <v>16180.137878</v>
      </c>
      <c r="I107" s="173"/>
      <c r="J107" s="173"/>
      <c r="K107" s="173">
        <f t="shared" si="9"/>
        <v>0</v>
      </c>
      <c r="L107" s="173"/>
      <c r="M107" s="173"/>
      <c r="N107" s="187">
        <f>'[2]Bieu 57'!I112</f>
        <v>0</v>
      </c>
      <c r="O107" s="176">
        <f t="shared" si="3"/>
        <v>99.952852542382303</v>
      </c>
      <c r="P107" s="176"/>
      <c r="Q107" s="176">
        <f t="shared" si="4"/>
        <v>99.952852542382303</v>
      </c>
    </row>
    <row r="108" spans="1:17" ht="18.75">
      <c r="A108" s="82" t="s">
        <v>195</v>
      </c>
      <c r="B108" s="189" t="s">
        <v>203</v>
      </c>
      <c r="C108" s="182">
        <f>SUM(C109:C110)</f>
        <v>1890.9</v>
      </c>
      <c r="D108" s="182">
        <f t="shared" ref="D108:N108" si="35">SUM(D109:D110)</f>
        <v>0</v>
      </c>
      <c r="E108" s="182">
        <f t="shared" si="35"/>
        <v>1890.9</v>
      </c>
      <c r="F108" s="182">
        <f t="shared" si="35"/>
        <v>2941.5010000000002</v>
      </c>
      <c r="G108" s="182">
        <f t="shared" si="35"/>
        <v>0</v>
      </c>
      <c r="H108" s="182">
        <f t="shared" si="35"/>
        <v>1691.501</v>
      </c>
      <c r="I108" s="182">
        <f t="shared" si="35"/>
        <v>0</v>
      </c>
      <c r="J108" s="182">
        <f t="shared" si="35"/>
        <v>0</v>
      </c>
      <c r="K108" s="182">
        <f t="shared" si="35"/>
        <v>1246.7840000000001</v>
      </c>
      <c r="L108" s="182">
        <f t="shared" si="35"/>
        <v>0</v>
      </c>
      <c r="M108" s="182">
        <f t="shared" si="35"/>
        <v>1246.7840000000001</v>
      </c>
      <c r="N108" s="182">
        <f t="shared" si="35"/>
        <v>3.2160000000000002</v>
      </c>
      <c r="O108" s="183">
        <f>F108/C108*100</f>
        <v>155.56089692738908</v>
      </c>
      <c r="P108" s="183"/>
      <c r="Q108" s="183">
        <f t="shared" si="4"/>
        <v>89.454809878893641</v>
      </c>
    </row>
    <row r="109" spans="1:17" ht="37.5">
      <c r="A109" s="46"/>
      <c r="B109" s="188" t="s">
        <v>399</v>
      </c>
      <c r="C109" s="173">
        <f t="shared" si="7"/>
        <v>0</v>
      </c>
      <c r="D109" s="173"/>
      <c r="E109" s="173"/>
      <c r="F109" s="173">
        <f t="shared" ref="F109:F110" si="36">G109+H109+I109+J109+K109+N109</f>
        <v>1250</v>
      </c>
      <c r="G109" s="173"/>
      <c r="H109" s="173"/>
      <c r="I109" s="173"/>
      <c r="J109" s="173"/>
      <c r="K109" s="173">
        <f>L109+M109</f>
        <v>1246.7840000000001</v>
      </c>
      <c r="L109" s="173"/>
      <c r="M109" s="173">
        <f>'[2]Bieu 57'!G121</f>
        <v>1246.7840000000001</v>
      </c>
      <c r="N109" s="187">
        <f>'[2]Bieu 57'!I121</f>
        <v>3.2160000000000002</v>
      </c>
      <c r="O109" s="183"/>
      <c r="P109" s="176"/>
      <c r="Q109" s="183"/>
    </row>
    <row r="110" spans="1:17" ht="18.75">
      <c r="A110" s="46"/>
      <c r="B110" s="188" t="s">
        <v>324</v>
      </c>
      <c r="C110" s="173">
        <f t="shared" si="7"/>
        <v>1890.9</v>
      </c>
      <c r="D110" s="173"/>
      <c r="E110" s="173">
        <f>'[2]Bieu 57'!C122</f>
        <v>1890.9</v>
      </c>
      <c r="F110" s="173">
        <f t="shared" si="36"/>
        <v>1691.501</v>
      </c>
      <c r="G110" s="173"/>
      <c r="H110" s="173">
        <f>'[2]Bieu 57'!G122</f>
        <v>1691.501</v>
      </c>
      <c r="I110" s="173"/>
      <c r="J110" s="173"/>
      <c r="K110" s="173">
        <f>L110+M110</f>
        <v>0</v>
      </c>
      <c r="L110" s="173"/>
      <c r="M110" s="173"/>
      <c r="N110" s="187"/>
      <c r="O110" s="176">
        <f t="shared" ref="O110" si="37">F110/C110*100</f>
        <v>89.454809878893641</v>
      </c>
      <c r="P110" s="176"/>
      <c r="Q110" s="176">
        <f t="shared" si="4"/>
        <v>89.454809878893641</v>
      </c>
    </row>
    <row r="111" spans="1:17" ht="18.75">
      <c r="A111" s="82" t="s">
        <v>197</v>
      </c>
      <c r="B111" s="189" t="s">
        <v>263</v>
      </c>
      <c r="C111" s="182">
        <f>SUM(C112:C114)</f>
        <v>299710.696</v>
      </c>
      <c r="D111" s="182">
        <f t="shared" ref="D111:N111" si="38">SUM(D112:D114)</f>
        <v>0</v>
      </c>
      <c r="E111" s="182">
        <f t="shared" si="38"/>
        <v>299710.696</v>
      </c>
      <c r="F111" s="182">
        <f t="shared" si="38"/>
        <v>297670.47762999998</v>
      </c>
      <c r="G111" s="182">
        <f t="shared" si="38"/>
        <v>0</v>
      </c>
      <c r="H111" s="182">
        <f t="shared" si="38"/>
        <v>283396.40889600001</v>
      </c>
      <c r="I111" s="182">
        <f t="shared" si="38"/>
        <v>0</v>
      </c>
      <c r="J111" s="182">
        <f t="shared" si="38"/>
        <v>0</v>
      </c>
      <c r="K111" s="182">
        <f t="shared" si="38"/>
        <v>0</v>
      </c>
      <c r="L111" s="182">
        <f t="shared" si="38"/>
        <v>0</v>
      </c>
      <c r="M111" s="182">
        <f t="shared" si="38"/>
        <v>0</v>
      </c>
      <c r="N111" s="182">
        <f t="shared" si="38"/>
        <v>14274.068734</v>
      </c>
      <c r="O111" s="183">
        <f t="shared" si="3"/>
        <v>99.319270751017839</v>
      </c>
      <c r="P111" s="183"/>
      <c r="Q111" s="183">
        <f t="shared" si="4"/>
        <v>94.556655027086521</v>
      </c>
    </row>
    <row r="112" spans="1:17" s="14" customFormat="1" ht="18.75">
      <c r="A112" s="51"/>
      <c r="B112" s="188" t="s">
        <v>169</v>
      </c>
      <c r="C112" s="173">
        <f t="shared" si="7"/>
        <v>60015.065000000002</v>
      </c>
      <c r="D112" s="173"/>
      <c r="E112" s="173">
        <f>'[2]Bieu 57'!C114</f>
        <v>60015.065000000002</v>
      </c>
      <c r="F112" s="173">
        <f>G112+H112+I112+J112+K112+N112</f>
        <v>59123.193232999998</v>
      </c>
      <c r="G112" s="173"/>
      <c r="H112" s="173">
        <f>'[2]Bieu 57'!G114</f>
        <v>55484.817093999998</v>
      </c>
      <c r="I112" s="173"/>
      <c r="J112" s="173"/>
      <c r="K112" s="173">
        <f t="shared" si="9"/>
        <v>0</v>
      </c>
      <c r="L112" s="173"/>
      <c r="M112" s="173"/>
      <c r="N112" s="187">
        <f>'[2]Bieu 57'!I114</f>
        <v>3638.376139</v>
      </c>
      <c r="O112" s="176">
        <f t="shared" si="3"/>
        <v>98.513920184873569</v>
      </c>
      <c r="P112" s="176"/>
      <c r="Q112" s="176">
        <f t="shared" si="4"/>
        <v>92.451482130361768</v>
      </c>
    </row>
    <row r="113" spans="1:17" s="14" customFormat="1" ht="18.75">
      <c r="A113" s="51"/>
      <c r="B113" s="188" t="s">
        <v>170</v>
      </c>
      <c r="C113" s="173">
        <f t="shared" si="7"/>
        <v>167379.54300000001</v>
      </c>
      <c r="D113" s="173"/>
      <c r="E113" s="173">
        <f>'[2]Bieu 57'!C115</f>
        <v>167379.54300000001</v>
      </c>
      <c r="F113" s="173">
        <f t="shared" ref="F113:F117" si="39">G113+H113+I113+J113+K113+N113</f>
        <v>166695.09437599999</v>
      </c>
      <c r="G113" s="173"/>
      <c r="H113" s="173">
        <f>'[2]Bieu 57'!G115</f>
        <v>156807.19091199999</v>
      </c>
      <c r="I113" s="173"/>
      <c r="J113" s="173"/>
      <c r="K113" s="173">
        <f t="shared" si="9"/>
        <v>0</v>
      </c>
      <c r="L113" s="173"/>
      <c r="M113" s="173"/>
      <c r="N113" s="187">
        <f>'[2]Bieu 57'!I115</f>
        <v>9887.9034640000009</v>
      </c>
      <c r="O113" s="176">
        <f t="shared" si="3"/>
        <v>99.591079882444163</v>
      </c>
      <c r="P113" s="176"/>
      <c r="Q113" s="176">
        <f t="shared" si="4"/>
        <v>93.683605595696946</v>
      </c>
    </row>
    <row r="114" spans="1:17" ht="18.75">
      <c r="A114" s="51"/>
      <c r="B114" s="188" t="s">
        <v>171</v>
      </c>
      <c r="C114" s="173">
        <f t="shared" si="7"/>
        <v>72316.088000000003</v>
      </c>
      <c r="D114" s="173"/>
      <c r="E114" s="173">
        <f>'[2]Bieu 57'!C116</f>
        <v>72316.088000000003</v>
      </c>
      <c r="F114" s="173">
        <f t="shared" si="39"/>
        <v>71852.190021000002</v>
      </c>
      <c r="G114" s="173"/>
      <c r="H114" s="173">
        <f>'[2]Bieu 57'!G116</f>
        <v>71104.400890000004</v>
      </c>
      <c r="I114" s="173"/>
      <c r="J114" s="173"/>
      <c r="K114" s="173">
        <f t="shared" si="9"/>
        <v>0</v>
      </c>
      <c r="L114" s="173"/>
      <c r="M114" s="173"/>
      <c r="N114" s="187">
        <f>'[2]Bieu 57'!I116</f>
        <v>747.789131</v>
      </c>
      <c r="O114" s="176">
        <f t="shared" si="3"/>
        <v>99.3585134486257</v>
      </c>
      <c r="P114" s="176"/>
      <c r="Q114" s="176">
        <f t="shared" si="4"/>
        <v>98.324457055807557</v>
      </c>
    </row>
    <row r="115" spans="1:17" ht="18.75">
      <c r="A115" s="48" t="s">
        <v>199</v>
      </c>
      <c r="B115" s="188" t="s">
        <v>264</v>
      </c>
      <c r="C115" s="173">
        <f t="shared" si="7"/>
        <v>2.1070000000000846</v>
      </c>
      <c r="D115" s="173"/>
      <c r="E115" s="173">
        <f>'[2]Bieu 57'!C117</f>
        <v>2.1070000000000846</v>
      </c>
      <c r="F115" s="173">
        <f t="shared" si="39"/>
        <v>0</v>
      </c>
      <c r="G115" s="173"/>
      <c r="H115" s="173">
        <f>'[2]Bieu 57'!G117</f>
        <v>0</v>
      </c>
      <c r="I115" s="173"/>
      <c r="J115" s="173"/>
      <c r="K115" s="173"/>
      <c r="L115" s="173"/>
      <c r="M115" s="173"/>
      <c r="N115" s="187">
        <v>0</v>
      </c>
      <c r="O115" s="176">
        <f>F115/C115*100</f>
        <v>0</v>
      </c>
      <c r="P115" s="176"/>
      <c r="Q115" s="176">
        <f t="shared" si="4"/>
        <v>0</v>
      </c>
    </row>
    <row r="116" spans="1:17" ht="18.75">
      <c r="A116" s="48" t="s">
        <v>400</v>
      </c>
      <c r="B116" s="188" t="s">
        <v>294</v>
      </c>
      <c r="C116" s="173">
        <f t="shared" si="7"/>
        <v>1845.924</v>
      </c>
      <c r="D116" s="173"/>
      <c r="E116" s="173">
        <f>'[2]Bieu 57'!C118</f>
        <v>1845.924</v>
      </c>
      <c r="F116" s="173">
        <f t="shared" si="39"/>
        <v>1845.92355</v>
      </c>
      <c r="G116" s="173"/>
      <c r="H116" s="173">
        <f>'[2]Bieu 57'!G118</f>
        <v>1845.92355</v>
      </c>
      <c r="I116" s="173"/>
      <c r="J116" s="173"/>
      <c r="K116" s="173"/>
      <c r="L116" s="173"/>
      <c r="M116" s="173"/>
      <c r="N116" s="187"/>
      <c r="O116" s="176">
        <f>F116/C116*100</f>
        <v>99.999975621964936</v>
      </c>
      <c r="P116" s="176"/>
      <c r="Q116" s="176">
        <f t="shared" si="4"/>
        <v>99.999975621964936</v>
      </c>
    </row>
    <row r="117" spans="1:17" ht="18.75">
      <c r="A117" s="48" t="s">
        <v>202</v>
      </c>
      <c r="B117" s="188" t="s">
        <v>204</v>
      </c>
      <c r="C117" s="173">
        <f t="shared" si="7"/>
        <v>11780.932000000001</v>
      </c>
      <c r="D117" s="173"/>
      <c r="E117" s="173">
        <f>'[2]Bieu 57'!C123</f>
        <v>11780.932000000001</v>
      </c>
      <c r="F117" s="173">
        <f t="shared" si="39"/>
        <v>7944.7826260000002</v>
      </c>
      <c r="G117" s="173"/>
      <c r="H117" s="173">
        <f>'[2]Bieu 57'!G123</f>
        <v>7944.7826260000002</v>
      </c>
      <c r="I117" s="173"/>
      <c r="J117" s="173"/>
      <c r="K117" s="173">
        <f t="shared" si="9"/>
        <v>0</v>
      </c>
      <c r="L117" s="173"/>
      <c r="M117" s="173"/>
      <c r="N117" s="187">
        <f>'[2]Bieu 57'!I123</f>
        <v>0</v>
      </c>
      <c r="O117" s="176">
        <f t="shared" si="3"/>
        <v>67.437640977810588</v>
      </c>
      <c r="P117" s="176"/>
      <c r="Q117" s="176">
        <f t="shared" si="4"/>
        <v>67.437640977810588</v>
      </c>
    </row>
    <row r="118" spans="1:17" ht="18.75">
      <c r="A118" s="46" t="s">
        <v>21</v>
      </c>
      <c r="B118" s="179" t="s">
        <v>205</v>
      </c>
      <c r="C118" s="193">
        <f>E118</f>
        <v>116787</v>
      </c>
      <c r="D118" s="193">
        <f t="shared" ref="D118:N118" si="40">SUM(D119:D133)</f>
        <v>0</v>
      </c>
      <c r="E118" s="193">
        <f t="shared" si="40"/>
        <v>116787</v>
      </c>
      <c r="F118" s="193">
        <f t="shared" si="40"/>
        <v>140998.64142299999</v>
      </c>
      <c r="G118" s="193">
        <f t="shared" si="40"/>
        <v>0</v>
      </c>
      <c r="H118" s="193">
        <f t="shared" si="40"/>
        <v>117816.055192</v>
      </c>
      <c r="I118" s="193">
        <f t="shared" si="40"/>
        <v>0</v>
      </c>
      <c r="J118" s="193">
        <f t="shared" si="40"/>
        <v>0</v>
      </c>
      <c r="K118" s="193">
        <f t="shared" si="40"/>
        <v>12983.537000000004</v>
      </c>
      <c r="L118" s="193">
        <f t="shared" si="40"/>
        <v>0</v>
      </c>
      <c r="M118" s="193">
        <f t="shared" si="40"/>
        <v>12983.537000000004</v>
      </c>
      <c r="N118" s="193">
        <f t="shared" si="40"/>
        <v>10199.049230999999</v>
      </c>
      <c r="O118" s="194">
        <f t="shared" si="3"/>
        <v>120.73145249300008</v>
      </c>
      <c r="P118" s="180"/>
      <c r="Q118" s="194">
        <f t="shared" si="4"/>
        <v>100.88113847602902</v>
      </c>
    </row>
    <row r="119" spans="1:17" ht="18.75">
      <c r="A119" s="51" t="s">
        <v>7</v>
      </c>
      <c r="B119" s="195" t="s">
        <v>206</v>
      </c>
      <c r="C119" s="187">
        <f t="shared" si="7"/>
        <v>6375</v>
      </c>
      <c r="D119" s="187"/>
      <c r="E119" s="187">
        <f>'[2]Bieu 58'!E16</f>
        <v>6375</v>
      </c>
      <c r="F119" s="187">
        <f>G119+H119+I119+J119+K119+N119</f>
        <v>7308.0548040000003</v>
      </c>
      <c r="G119" s="187"/>
      <c r="H119" s="187">
        <f>'[2]Bieu 58'!J16</f>
        <v>6047.3606420000006</v>
      </c>
      <c r="I119" s="187"/>
      <c r="J119" s="187"/>
      <c r="K119" s="187">
        <f t="shared" si="9"/>
        <v>499.28</v>
      </c>
      <c r="L119" s="187"/>
      <c r="M119" s="187">
        <f>'[2]Bieu 58'!O16</f>
        <v>499.28</v>
      </c>
      <c r="N119" s="187">
        <f>'[2]Bieu 58'!Q16</f>
        <v>761.41416200000003</v>
      </c>
      <c r="O119" s="173"/>
      <c r="P119" s="173"/>
      <c r="Q119" s="173"/>
    </row>
    <row r="120" spans="1:17" ht="18.75">
      <c r="A120" s="51" t="s">
        <v>8</v>
      </c>
      <c r="B120" s="195" t="s">
        <v>207</v>
      </c>
      <c r="C120" s="187">
        <f t="shared" si="7"/>
        <v>5770</v>
      </c>
      <c r="D120" s="187"/>
      <c r="E120" s="187">
        <f>'[2]Bieu 58'!E17</f>
        <v>5770</v>
      </c>
      <c r="F120" s="187">
        <f t="shared" ref="F120:F139" si="41">G120+H120+I120+J120+K120+N120</f>
        <v>6520.7753439999997</v>
      </c>
      <c r="G120" s="187"/>
      <c r="H120" s="187">
        <f>'[2]Bieu 58'!J17</f>
        <v>6005.132192</v>
      </c>
      <c r="I120" s="187"/>
      <c r="J120" s="187"/>
      <c r="K120" s="187">
        <f t="shared" si="9"/>
        <v>305.19900000000001</v>
      </c>
      <c r="L120" s="187"/>
      <c r="M120" s="187">
        <f>'[2]Bieu 58'!O17</f>
        <v>305.19900000000001</v>
      </c>
      <c r="N120" s="187">
        <f>'[2]Bieu 58'!Q17</f>
        <v>210.444152</v>
      </c>
      <c r="O120" s="173"/>
      <c r="P120" s="173"/>
      <c r="Q120" s="173"/>
    </row>
    <row r="121" spans="1:17" ht="18.75">
      <c r="A121" s="51" t="s">
        <v>9</v>
      </c>
      <c r="B121" s="195" t="s">
        <v>208</v>
      </c>
      <c r="C121" s="187">
        <f t="shared" si="7"/>
        <v>5259</v>
      </c>
      <c r="D121" s="187"/>
      <c r="E121" s="187">
        <f>'[2]Bieu 58'!E18</f>
        <v>5259</v>
      </c>
      <c r="F121" s="187">
        <f t="shared" si="41"/>
        <v>6282.1036089999998</v>
      </c>
      <c r="G121" s="187"/>
      <c r="H121" s="187">
        <f>'[2]Bieu 58'!J18</f>
        <v>5203.2196619999995</v>
      </c>
      <c r="I121" s="187"/>
      <c r="J121" s="187"/>
      <c r="K121" s="187">
        <f t="shared" si="9"/>
        <v>405.92399999999998</v>
      </c>
      <c r="L121" s="187"/>
      <c r="M121" s="187">
        <f>'[2]Bieu 58'!O18</f>
        <v>405.92399999999998</v>
      </c>
      <c r="N121" s="187">
        <f>'[2]Bieu 58'!Q18</f>
        <v>672.95994700000006</v>
      </c>
      <c r="O121" s="173"/>
      <c r="P121" s="173"/>
      <c r="Q121" s="173"/>
    </row>
    <row r="122" spans="1:17" ht="18.75">
      <c r="A122" s="51" t="s">
        <v>15</v>
      </c>
      <c r="B122" s="195" t="s">
        <v>209</v>
      </c>
      <c r="C122" s="187">
        <f t="shared" si="7"/>
        <v>8932</v>
      </c>
      <c r="D122" s="187"/>
      <c r="E122" s="187">
        <f>'[2]Bieu 58'!E19</f>
        <v>8932</v>
      </c>
      <c r="F122" s="187">
        <f t="shared" si="41"/>
        <v>11358.520715000001</v>
      </c>
      <c r="G122" s="187"/>
      <c r="H122" s="187">
        <f>'[2]Bieu 58'!J19</f>
        <v>9427.7723769999993</v>
      </c>
      <c r="I122" s="187"/>
      <c r="J122" s="187"/>
      <c r="K122" s="187">
        <f t="shared" si="9"/>
        <v>1199.932</v>
      </c>
      <c r="L122" s="187"/>
      <c r="M122" s="187">
        <f>'[2]Bieu 58'!O19</f>
        <v>1199.932</v>
      </c>
      <c r="N122" s="187">
        <f>'[2]Bieu 58'!Q19</f>
        <v>730.81633799999997</v>
      </c>
      <c r="O122" s="173"/>
      <c r="P122" s="173"/>
      <c r="Q122" s="173"/>
    </row>
    <row r="123" spans="1:17" ht="18.75">
      <c r="A123" s="51" t="s">
        <v>56</v>
      </c>
      <c r="B123" s="195" t="s">
        <v>210</v>
      </c>
      <c r="C123" s="187">
        <f t="shared" si="7"/>
        <v>8854</v>
      </c>
      <c r="D123" s="187"/>
      <c r="E123" s="187">
        <f>'[2]Bieu 58'!E20</f>
        <v>8854</v>
      </c>
      <c r="F123" s="187">
        <f t="shared" si="41"/>
        <v>10665.32567</v>
      </c>
      <c r="G123" s="187"/>
      <c r="H123" s="187">
        <f>'[2]Bieu 58'!J20</f>
        <v>9026.0891730000003</v>
      </c>
      <c r="I123" s="187"/>
      <c r="J123" s="187"/>
      <c r="K123" s="187">
        <f t="shared" ref="K123:K139" si="42">L123+M123</f>
        <v>612.4</v>
      </c>
      <c r="L123" s="187"/>
      <c r="M123" s="187">
        <f>'[2]Bieu 58'!O20</f>
        <v>612.4</v>
      </c>
      <c r="N123" s="187">
        <f>'[2]Bieu 58'!Q20</f>
        <v>1026.836497</v>
      </c>
      <c r="O123" s="173"/>
      <c r="P123" s="173"/>
      <c r="Q123" s="173"/>
    </row>
    <row r="124" spans="1:17" ht="18.75">
      <c r="A124" s="51" t="s">
        <v>58</v>
      </c>
      <c r="B124" s="195" t="s">
        <v>211</v>
      </c>
      <c r="C124" s="187">
        <f t="shared" si="7"/>
        <v>7795</v>
      </c>
      <c r="D124" s="187"/>
      <c r="E124" s="187">
        <f>'[2]Bieu 58'!E21</f>
        <v>7795</v>
      </c>
      <c r="F124" s="187">
        <f t="shared" si="41"/>
        <v>9080.7341159999996</v>
      </c>
      <c r="G124" s="187"/>
      <c r="H124" s="187">
        <f>'[2]Bieu 58'!J21</f>
        <v>7751.8137619999998</v>
      </c>
      <c r="I124" s="187"/>
      <c r="J124" s="187"/>
      <c r="K124" s="187">
        <f t="shared" si="42"/>
        <v>714.45600000000002</v>
      </c>
      <c r="L124" s="187"/>
      <c r="M124" s="187">
        <f>'[2]Bieu 58'!O21</f>
        <v>714.45600000000002</v>
      </c>
      <c r="N124" s="187">
        <f>'[2]Bieu 58'!Q21</f>
        <v>614.46435399999996</v>
      </c>
      <c r="O124" s="173"/>
      <c r="P124" s="173"/>
      <c r="Q124" s="173"/>
    </row>
    <row r="125" spans="1:17" ht="18.75">
      <c r="A125" s="51" t="s">
        <v>117</v>
      </c>
      <c r="B125" s="195" t="s">
        <v>212</v>
      </c>
      <c r="C125" s="187">
        <f t="shared" ref="C125:C139" si="43">D125+E125</f>
        <v>7860</v>
      </c>
      <c r="D125" s="187"/>
      <c r="E125" s="187">
        <f>'[2]Bieu 58'!E22</f>
        <v>7860</v>
      </c>
      <c r="F125" s="187">
        <f>G125+H125+I125+J125+K125+N125</f>
        <v>8576.166940000001</v>
      </c>
      <c r="G125" s="187">
        <f>'[2]Bieu 58'!G22</f>
        <v>0</v>
      </c>
      <c r="H125" s="187">
        <f>'[2]Bieu 58'!J22</f>
        <v>6950.6542520000012</v>
      </c>
      <c r="I125" s="187"/>
      <c r="J125" s="187"/>
      <c r="K125" s="187">
        <f t="shared" si="42"/>
        <v>695.88800000000003</v>
      </c>
      <c r="L125" s="187"/>
      <c r="M125" s="187">
        <f>'[2]Bieu 58'!O22</f>
        <v>695.88800000000003</v>
      </c>
      <c r="N125" s="187">
        <f>'[2]Bieu 58'!Q22</f>
        <v>929.62468799999999</v>
      </c>
      <c r="O125" s="173"/>
      <c r="P125" s="173"/>
      <c r="Q125" s="173"/>
    </row>
    <row r="126" spans="1:17" ht="18.75">
      <c r="A126" s="51" t="s">
        <v>118</v>
      </c>
      <c r="B126" s="195" t="s">
        <v>213</v>
      </c>
      <c r="C126" s="187">
        <f t="shared" si="43"/>
        <v>7862</v>
      </c>
      <c r="D126" s="187"/>
      <c r="E126" s="187">
        <f>'[2]Bieu 58'!E23</f>
        <v>7862</v>
      </c>
      <c r="F126" s="187">
        <f t="shared" si="41"/>
        <v>9219.7438039999997</v>
      </c>
      <c r="G126" s="187"/>
      <c r="H126" s="187">
        <f>'[2]Bieu 58'!J23</f>
        <v>6677.3386190000001</v>
      </c>
      <c r="I126" s="187"/>
      <c r="J126" s="187"/>
      <c r="K126" s="187">
        <f t="shared" si="42"/>
        <v>2186.239</v>
      </c>
      <c r="L126" s="187"/>
      <c r="M126" s="187">
        <f>'[2]Bieu 58'!O23</f>
        <v>2186.239</v>
      </c>
      <c r="N126" s="187">
        <f>'[2]Bieu 58'!Q23</f>
        <v>356.16618499999998</v>
      </c>
      <c r="O126" s="173"/>
      <c r="P126" s="173"/>
      <c r="Q126" s="173"/>
    </row>
    <row r="127" spans="1:17" ht="18.75">
      <c r="A127" s="51" t="s">
        <v>119</v>
      </c>
      <c r="B127" s="195" t="s">
        <v>214</v>
      </c>
      <c r="C127" s="187">
        <f t="shared" si="43"/>
        <v>9734</v>
      </c>
      <c r="D127" s="187"/>
      <c r="E127" s="187">
        <f>'[2]Bieu 58'!E24</f>
        <v>9734</v>
      </c>
      <c r="F127" s="187">
        <f t="shared" si="41"/>
        <v>11159.683519</v>
      </c>
      <c r="G127" s="187"/>
      <c r="H127" s="187">
        <f>'[2]Bieu 58'!J24</f>
        <v>9358.5806370000009</v>
      </c>
      <c r="I127" s="187"/>
      <c r="J127" s="187"/>
      <c r="K127" s="187">
        <f t="shared" si="42"/>
        <v>1010.92</v>
      </c>
      <c r="L127" s="187"/>
      <c r="M127" s="187">
        <f>'[2]Bieu 58'!O24</f>
        <v>1010.92</v>
      </c>
      <c r="N127" s="187">
        <f>'[2]Bieu 58'!Q24</f>
        <v>790.18288199999995</v>
      </c>
      <c r="O127" s="173"/>
      <c r="P127" s="173"/>
      <c r="Q127" s="173"/>
    </row>
    <row r="128" spans="1:17" ht="18.75">
      <c r="A128" s="51" t="s">
        <v>120</v>
      </c>
      <c r="B128" s="195" t="s">
        <v>215</v>
      </c>
      <c r="C128" s="187">
        <f t="shared" si="43"/>
        <v>8119</v>
      </c>
      <c r="D128" s="187"/>
      <c r="E128" s="187">
        <f>'[2]Bieu 58'!E25</f>
        <v>8119</v>
      </c>
      <c r="F128" s="187">
        <f t="shared" si="41"/>
        <v>10051.97639</v>
      </c>
      <c r="G128" s="187"/>
      <c r="H128" s="187">
        <f>'[2]Bieu 58'!J25</f>
        <v>8105.1928169999992</v>
      </c>
      <c r="I128" s="187"/>
      <c r="J128" s="187"/>
      <c r="K128" s="187">
        <f t="shared" si="42"/>
        <v>1341.519</v>
      </c>
      <c r="L128" s="187"/>
      <c r="M128" s="187">
        <f>'[2]Bieu 58'!O25</f>
        <v>1341.519</v>
      </c>
      <c r="N128" s="187">
        <f>'[2]Bieu 58'!Q25</f>
        <v>605.26457300000004</v>
      </c>
      <c r="O128" s="173"/>
      <c r="P128" s="173"/>
      <c r="Q128" s="173"/>
    </row>
    <row r="129" spans="1:17" ht="18.75">
      <c r="A129" s="51" t="s">
        <v>121</v>
      </c>
      <c r="B129" s="195" t="s">
        <v>216</v>
      </c>
      <c r="C129" s="187">
        <f t="shared" si="43"/>
        <v>6977</v>
      </c>
      <c r="D129" s="187"/>
      <c r="E129" s="187">
        <f>'[2]Bieu 58'!E26</f>
        <v>6977</v>
      </c>
      <c r="F129" s="187">
        <f t="shared" si="41"/>
        <v>9056.6104889999988</v>
      </c>
      <c r="G129" s="187"/>
      <c r="H129" s="187">
        <f>'[2]Bieu 58'!J26</f>
        <v>7866.3479710000001</v>
      </c>
      <c r="I129" s="187"/>
      <c r="J129" s="187"/>
      <c r="K129" s="187">
        <f t="shared" si="42"/>
        <v>395.27</v>
      </c>
      <c r="L129" s="187"/>
      <c r="M129" s="187">
        <f>'[2]Bieu 58'!O26</f>
        <v>395.27</v>
      </c>
      <c r="N129" s="187">
        <f>'[2]Bieu 58'!Q26</f>
        <v>794.99251800000002</v>
      </c>
      <c r="O129" s="173"/>
      <c r="P129" s="173"/>
      <c r="Q129" s="173"/>
    </row>
    <row r="130" spans="1:17" ht="18.75">
      <c r="A130" s="51" t="s">
        <v>122</v>
      </c>
      <c r="B130" s="195" t="s">
        <v>217</v>
      </c>
      <c r="C130" s="187">
        <f t="shared" si="43"/>
        <v>7163</v>
      </c>
      <c r="D130" s="187"/>
      <c r="E130" s="187">
        <f>'[2]Bieu 58'!E27</f>
        <v>7163</v>
      </c>
      <c r="F130" s="187">
        <f t="shared" si="41"/>
        <v>9005.0035329999992</v>
      </c>
      <c r="G130" s="187"/>
      <c r="H130" s="187">
        <f>'[2]Bieu 58'!J27</f>
        <v>8001.9731600000005</v>
      </c>
      <c r="I130" s="187"/>
      <c r="J130" s="187"/>
      <c r="K130" s="187">
        <f t="shared" si="42"/>
        <v>608.94000000000005</v>
      </c>
      <c r="L130" s="187"/>
      <c r="M130" s="187">
        <f>'[2]Bieu 58'!O27</f>
        <v>608.94000000000005</v>
      </c>
      <c r="N130" s="187">
        <f>'[2]Bieu 58'!Q27</f>
        <v>394.090373</v>
      </c>
      <c r="O130" s="173"/>
      <c r="P130" s="173"/>
      <c r="Q130" s="173"/>
    </row>
    <row r="131" spans="1:17" ht="18.75">
      <c r="A131" s="51" t="s">
        <v>123</v>
      </c>
      <c r="B131" s="195" t="s">
        <v>218</v>
      </c>
      <c r="C131" s="187">
        <f t="shared" si="43"/>
        <v>8531</v>
      </c>
      <c r="D131" s="187"/>
      <c r="E131" s="187">
        <f>'[2]Bieu 58'!E28</f>
        <v>8531</v>
      </c>
      <c r="F131" s="187">
        <f t="shared" si="41"/>
        <v>12120.321367</v>
      </c>
      <c r="G131" s="187"/>
      <c r="H131" s="187">
        <f>'[2]Bieu 58'!J28</f>
        <v>11273.834721000001</v>
      </c>
      <c r="I131" s="187"/>
      <c r="J131" s="187"/>
      <c r="K131" s="187">
        <f t="shared" si="42"/>
        <v>18</v>
      </c>
      <c r="L131" s="187"/>
      <c r="M131" s="187">
        <f>'[2]Bieu 58'!O28</f>
        <v>18</v>
      </c>
      <c r="N131" s="187">
        <f>'[2]Bieu 58'!Q28</f>
        <v>828.48664599999995</v>
      </c>
      <c r="O131" s="173"/>
      <c r="P131" s="173"/>
      <c r="Q131" s="173"/>
    </row>
    <row r="132" spans="1:17" ht="18.75">
      <c r="A132" s="51" t="s">
        <v>219</v>
      </c>
      <c r="B132" s="195" t="s">
        <v>220</v>
      </c>
      <c r="C132" s="187">
        <f t="shared" si="43"/>
        <v>10703</v>
      </c>
      <c r="D132" s="187"/>
      <c r="E132" s="187">
        <f>'[2]Bieu 58'!E29</f>
        <v>10703</v>
      </c>
      <c r="F132" s="187">
        <f t="shared" si="41"/>
        <v>12401.600834999999</v>
      </c>
      <c r="G132" s="187"/>
      <c r="H132" s="187">
        <f>'[2]Bieu 58'!J29</f>
        <v>9614.196077999999</v>
      </c>
      <c r="I132" s="187"/>
      <c r="J132" s="187"/>
      <c r="K132" s="187">
        <f t="shared" si="42"/>
        <v>1939.5140000000001</v>
      </c>
      <c r="L132" s="187"/>
      <c r="M132" s="187">
        <f>'[2]Bieu 58'!O29</f>
        <v>1939.5140000000001</v>
      </c>
      <c r="N132" s="187">
        <f>'[2]Bieu 58'!Q29</f>
        <v>847.89075700000001</v>
      </c>
      <c r="O132" s="173"/>
      <c r="P132" s="173"/>
      <c r="Q132" s="173"/>
    </row>
    <row r="133" spans="1:17" ht="18.75">
      <c r="A133" s="51" t="s">
        <v>221</v>
      </c>
      <c r="B133" s="195" t="s">
        <v>222</v>
      </c>
      <c r="C133" s="187">
        <f t="shared" si="43"/>
        <v>6853</v>
      </c>
      <c r="D133" s="187"/>
      <c r="E133" s="187">
        <f>'[2]Bieu 58'!E30</f>
        <v>6853</v>
      </c>
      <c r="F133" s="187">
        <f t="shared" si="41"/>
        <v>8192.0202880000015</v>
      </c>
      <c r="G133" s="187"/>
      <c r="H133" s="187">
        <f>'[2]Bieu 58'!J30</f>
        <v>6506.5491290000009</v>
      </c>
      <c r="I133" s="187"/>
      <c r="J133" s="187"/>
      <c r="K133" s="187">
        <f t="shared" si="42"/>
        <v>1050.056</v>
      </c>
      <c r="L133" s="187"/>
      <c r="M133" s="187">
        <f>'[2]Bieu 58'!O30</f>
        <v>1050.056</v>
      </c>
      <c r="N133" s="187">
        <f>'[2]Bieu 58'!Q30</f>
        <v>635.41515900000002</v>
      </c>
      <c r="O133" s="180"/>
      <c r="P133" s="180"/>
      <c r="Q133" s="180"/>
    </row>
    <row r="134" spans="1:17" ht="45.75" customHeight="1">
      <c r="A134" s="87" t="s">
        <v>24</v>
      </c>
      <c r="B134" s="130" t="s">
        <v>446</v>
      </c>
      <c r="C134" s="187">
        <f t="shared" si="43"/>
        <v>0</v>
      </c>
      <c r="D134" s="187"/>
      <c r="E134" s="187"/>
      <c r="F134" s="187">
        <f t="shared" si="41"/>
        <v>0</v>
      </c>
      <c r="G134" s="187"/>
      <c r="H134" s="187"/>
      <c r="I134" s="187"/>
      <c r="J134" s="187"/>
      <c r="K134" s="187">
        <f t="shared" si="42"/>
        <v>0</v>
      </c>
      <c r="L134" s="187"/>
      <c r="M134" s="187"/>
      <c r="N134" s="187"/>
      <c r="O134" s="180"/>
      <c r="P134" s="180"/>
      <c r="Q134" s="180"/>
    </row>
    <row r="135" spans="1:17" ht="37.5">
      <c r="A135" s="87" t="s">
        <v>46</v>
      </c>
      <c r="B135" s="39" t="s">
        <v>271</v>
      </c>
      <c r="C135" s="187">
        <f t="shared" si="43"/>
        <v>0</v>
      </c>
      <c r="D135" s="187"/>
      <c r="E135" s="187"/>
      <c r="F135" s="187">
        <f t="shared" si="41"/>
        <v>875.58529399999998</v>
      </c>
      <c r="G135" s="187"/>
      <c r="H135" s="187">
        <f>'[2]Bieu 58'!P13</f>
        <v>875.58529399999998</v>
      </c>
      <c r="I135" s="187"/>
      <c r="J135" s="187"/>
      <c r="K135" s="187">
        <f t="shared" si="42"/>
        <v>0</v>
      </c>
      <c r="L135" s="187"/>
      <c r="M135" s="187"/>
      <c r="N135" s="187"/>
      <c r="O135" s="180"/>
      <c r="P135" s="180"/>
      <c r="Q135" s="180"/>
    </row>
    <row r="136" spans="1:17" ht="18.75">
      <c r="A136" s="87" t="s">
        <v>47</v>
      </c>
      <c r="B136" s="179" t="s">
        <v>223</v>
      </c>
      <c r="C136" s="131">
        <f t="shared" si="43"/>
        <v>0</v>
      </c>
      <c r="D136" s="131"/>
      <c r="E136" s="131"/>
      <c r="F136" s="131">
        <f t="shared" si="41"/>
        <v>0</v>
      </c>
      <c r="G136" s="131"/>
      <c r="H136" s="131"/>
      <c r="I136" s="131"/>
      <c r="J136" s="131"/>
      <c r="K136" s="131">
        <f t="shared" si="42"/>
        <v>0</v>
      </c>
      <c r="L136" s="131"/>
      <c r="M136" s="131"/>
      <c r="N136" s="131"/>
      <c r="O136" s="180"/>
      <c r="P136" s="180"/>
      <c r="Q136" s="180"/>
    </row>
    <row r="137" spans="1:17" ht="37.5">
      <c r="A137" s="87" t="s">
        <v>55</v>
      </c>
      <c r="B137" s="130" t="s">
        <v>444</v>
      </c>
      <c r="C137" s="131">
        <f t="shared" si="43"/>
        <v>0</v>
      </c>
      <c r="D137" s="131"/>
      <c r="E137" s="131"/>
      <c r="F137" s="131">
        <f t="shared" si="41"/>
        <v>0</v>
      </c>
      <c r="G137" s="131"/>
      <c r="H137" s="131"/>
      <c r="I137" s="131"/>
      <c r="J137" s="131"/>
      <c r="K137" s="131">
        <f t="shared" si="42"/>
        <v>0</v>
      </c>
      <c r="L137" s="131"/>
      <c r="M137" s="131"/>
      <c r="N137" s="131"/>
      <c r="O137" s="180"/>
      <c r="P137" s="180"/>
      <c r="Q137" s="180"/>
    </row>
    <row r="138" spans="1:17" ht="37.5">
      <c r="A138" s="87" t="s">
        <v>287</v>
      </c>
      <c r="B138" s="130" t="s">
        <v>445</v>
      </c>
      <c r="C138" s="131">
        <f t="shared" si="43"/>
        <v>74326.3</v>
      </c>
      <c r="D138" s="131"/>
      <c r="E138" s="131">
        <f>'[2]Bieu 49'!C21</f>
        <v>74326.3</v>
      </c>
      <c r="F138" s="131">
        <f t="shared" si="41"/>
        <v>92360.439750000005</v>
      </c>
      <c r="G138" s="131"/>
      <c r="H138" s="131">
        <f>92360.43975-K138</f>
        <v>92360.439750000005</v>
      </c>
      <c r="I138" s="131"/>
      <c r="J138" s="131"/>
      <c r="K138" s="131">
        <f t="shared" si="42"/>
        <v>0</v>
      </c>
      <c r="L138" s="131"/>
      <c r="M138" s="131"/>
      <c r="N138" s="131"/>
      <c r="O138" s="180"/>
      <c r="P138" s="180"/>
      <c r="Q138" s="180"/>
    </row>
    <row r="139" spans="1:17" ht="56.25">
      <c r="A139" s="87" t="s">
        <v>295</v>
      </c>
      <c r="B139" s="130" t="s">
        <v>354</v>
      </c>
      <c r="C139" s="131">
        <f t="shared" si="43"/>
        <v>0</v>
      </c>
      <c r="D139" s="131"/>
      <c r="E139" s="131"/>
      <c r="F139" s="131">
        <f t="shared" si="41"/>
        <v>142565.99218100001</v>
      </c>
      <c r="G139" s="131"/>
      <c r="H139" s="131"/>
      <c r="I139" s="131"/>
      <c r="J139" s="131"/>
      <c r="K139" s="131">
        <f t="shared" si="42"/>
        <v>0</v>
      </c>
      <c r="L139" s="131"/>
      <c r="M139" s="131"/>
      <c r="N139" s="131">
        <f>19469.419662+123096.572519</f>
        <v>142565.99218100001</v>
      </c>
      <c r="O139" s="180"/>
      <c r="P139" s="180"/>
      <c r="Q139" s="180"/>
    </row>
  </sheetData>
  <mergeCells count="25">
    <mergeCell ref="F5:N5"/>
    <mergeCell ref="O5:Q5"/>
    <mergeCell ref="I6:I9"/>
    <mergeCell ref="J6:J9"/>
    <mergeCell ref="K6:M6"/>
    <mergeCell ref="P6:P9"/>
    <mergeCell ref="Q6:Q9"/>
    <mergeCell ref="L7:L9"/>
    <mergeCell ref="M7:M9"/>
    <mergeCell ref="K7:K9"/>
    <mergeCell ref="O1:Q1"/>
    <mergeCell ref="A1:C1"/>
    <mergeCell ref="B5:B9"/>
    <mergeCell ref="C5:E5"/>
    <mergeCell ref="H6:H9"/>
    <mergeCell ref="A5:A9"/>
    <mergeCell ref="C6:C9"/>
    <mergeCell ref="D6:D9"/>
    <mergeCell ref="E6:E9"/>
    <mergeCell ref="F6:F9"/>
    <mergeCell ref="G6:G9"/>
    <mergeCell ref="N6:N9"/>
    <mergeCell ref="O6:O9"/>
    <mergeCell ref="A2:Q2"/>
    <mergeCell ref="A3:Q3"/>
  </mergeCells>
  <printOptions horizontalCentered="1"/>
  <pageMargins left="0.24" right="0.196850393700787" top="0.32" bottom="0.47244094488188998" header="0.2" footer="0.23622047244094499"/>
  <pageSetup paperSize="9" scale="63" orientation="landscape" verticalDpi="0" r:id="rId1"/>
  <headerFooter>
    <oddFooter>&amp;F&amp;RPage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zoomScale="120" zoomScaleNormal="120" workbookViewId="0">
      <selection activeCell="G7" sqref="G7:G12"/>
    </sheetView>
  </sheetViews>
  <sheetFormatPr defaultColWidth="9.140625" defaultRowHeight="15.75"/>
  <cols>
    <col min="1" max="1" width="5.7109375" style="8" customWidth="1"/>
    <col min="2" max="2" width="24" style="8" customWidth="1"/>
    <col min="3" max="11" width="9.140625" style="8"/>
    <col min="12" max="12" width="9.28515625" style="8" customWidth="1"/>
    <col min="13" max="16384" width="9.140625" style="8"/>
  </cols>
  <sheetData>
    <row r="1" spans="1:20" s="11" customFormat="1" ht="16.5">
      <c r="A1" s="207"/>
      <c r="B1" s="207"/>
      <c r="C1" s="207"/>
      <c r="D1" s="207"/>
      <c r="E1" s="208"/>
      <c r="F1" s="208"/>
      <c r="G1" s="208"/>
      <c r="H1" s="209"/>
      <c r="I1" s="209"/>
      <c r="J1" s="209"/>
      <c r="K1" s="208"/>
      <c r="L1" s="208"/>
      <c r="M1" s="208"/>
      <c r="N1" s="209"/>
      <c r="O1" s="209"/>
      <c r="P1" s="208"/>
      <c r="Q1" s="208"/>
      <c r="R1" s="126" t="s">
        <v>238</v>
      </c>
      <c r="S1" s="126"/>
      <c r="T1" s="126"/>
    </row>
    <row r="2" spans="1:20" s="11" customFormat="1" ht="16.5">
      <c r="A2" s="210" t="s">
        <v>402</v>
      </c>
      <c r="B2" s="210"/>
      <c r="C2" s="210"/>
      <c r="D2" s="210"/>
      <c r="E2" s="210"/>
      <c r="F2" s="210"/>
      <c r="G2" s="210"/>
      <c r="H2" s="210"/>
      <c r="I2" s="210"/>
      <c r="J2" s="210"/>
      <c r="K2" s="210"/>
      <c r="L2" s="210"/>
      <c r="M2" s="210"/>
      <c r="N2" s="210"/>
      <c r="O2" s="210"/>
      <c r="P2" s="210"/>
      <c r="Q2" s="210"/>
      <c r="R2" s="210"/>
      <c r="S2" s="210"/>
      <c r="T2" s="210"/>
    </row>
    <row r="3" spans="1:20" s="11" customFormat="1" ht="16.5">
      <c r="A3" s="211" t="str">
        <f>'BIEU 96'!A3:E3</f>
        <v>(Đính kèm Quyết định số:         /QĐ-UBND ngày      /7/2024 của UBND huyện Phụng Hiệp)</v>
      </c>
      <c r="B3" s="211"/>
      <c r="C3" s="211"/>
      <c r="D3" s="211"/>
      <c r="E3" s="211"/>
      <c r="F3" s="211"/>
      <c r="G3" s="211"/>
      <c r="H3" s="211"/>
      <c r="I3" s="211"/>
      <c r="J3" s="211"/>
      <c r="K3" s="211"/>
      <c r="L3" s="211"/>
      <c r="M3" s="211"/>
      <c r="N3" s="211"/>
      <c r="O3" s="211"/>
      <c r="P3" s="211"/>
      <c r="Q3" s="211"/>
      <c r="R3" s="211"/>
      <c r="S3" s="211"/>
      <c r="T3" s="211"/>
    </row>
    <row r="4" spans="1:20" s="11" customFormat="1" ht="16.5">
      <c r="A4" s="212"/>
      <c r="B4" s="212"/>
      <c r="E4" s="211"/>
      <c r="F4" s="211"/>
      <c r="G4" s="211"/>
      <c r="H4" s="211"/>
      <c r="K4" s="213"/>
      <c r="L4" s="213"/>
      <c r="M4" s="214"/>
      <c r="N4" s="213"/>
      <c r="P4" s="213"/>
      <c r="Q4" s="213"/>
      <c r="R4" s="213" t="s">
        <v>26</v>
      </c>
      <c r="S4" s="213"/>
      <c r="T4" s="213"/>
    </row>
    <row r="5" spans="1:20" ht="15.6" customHeight="1">
      <c r="A5" s="107" t="s">
        <v>225</v>
      </c>
      <c r="B5" s="107" t="s">
        <v>226</v>
      </c>
      <c r="C5" s="113" t="s">
        <v>1</v>
      </c>
      <c r="D5" s="114"/>
      <c r="E5" s="114"/>
      <c r="F5" s="114"/>
      <c r="G5" s="114"/>
      <c r="H5" s="115"/>
      <c r="I5" s="113" t="s">
        <v>2</v>
      </c>
      <c r="J5" s="114"/>
      <c r="K5" s="114"/>
      <c r="L5" s="114"/>
      <c r="M5" s="114"/>
      <c r="N5" s="115"/>
      <c r="O5" s="113" t="s">
        <v>3</v>
      </c>
      <c r="P5" s="114"/>
      <c r="Q5" s="114"/>
      <c r="R5" s="114"/>
      <c r="S5" s="114"/>
      <c r="T5" s="115"/>
    </row>
    <row r="6" spans="1:20" ht="15.6" customHeight="1">
      <c r="A6" s="108"/>
      <c r="B6" s="108"/>
      <c r="C6" s="107" t="s">
        <v>126</v>
      </c>
      <c r="D6" s="107" t="s">
        <v>227</v>
      </c>
      <c r="E6" s="110" t="s">
        <v>228</v>
      </c>
      <c r="F6" s="111"/>
      <c r="G6" s="111"/>
      <c r="H6" s="112"/>
      <c r="I6" s="107" t="s">
        <v>126</v>
      </c>
      <c r="J6" s="107" t="s">
        <v>227</v>
      </c>
      <c r="K6" s="110" t="s">
        <v>228</v>
      </c>
      <c r="L6" s="111"/>
      <c r="M6" s="111"/>
      <c r="N6" s="112"/>
      <c r="O6" s="107" t="s">
        <v>126</v>
      </c>
      <c r="P6" s="107" t="s">
        <v>227</v>
      </c>
      <c r="Q6" s="110" t="s">
        <v>228</v>
      </c>
      <c r="R6" s="111"/>
      <c r="S6" s="111"/>
      <c r="T6" s="112"/>
    </row>
    <row r="7" spans="1:20" ht="15.75" customHeight="1">
      <c r="A7" s="108"/>
      <c r="B7" s="108"/>
      <c r="C7" s="108"/>
      <c r="D7" s="108"/>
      <c r="E7" s="107" t="s">
        <v>126</v>
      </c>
      <c r="F7" s="107" t="s">
        <v>230</v>
      </c>
      <c r="G7" s="107" t="s">
        <v>231</v>
      </c>
      <c r="H7" s="107" t="s">
        <v>229</v>
      </c>
      <c r="I7" s="108"/>
      <c r="J7" s="108"/>
      <c r="K7" s="107" t="s">
        <v>126</v>
      </c>
      <c r="L7" s="107" t="s">
        <v>230</v>
      </c>
      <c r="M7" s="107" t="s">
        <v>231</v>
      </c>
      <c r="N7" s="107" t="s">
        <v>229</v>
      </c>
      <c r="O7" s="108"/>
      <c r="P7" s="108"/>
      <c r="Q7" s="107" t="s">
        <v>126</v>
      </c>
      <c r="R7" s="107" t="s">
        <v>230</v>
      </c>
      <c r="S7" s="107" t="s">
        <v>231</v>
      </c>
      <c r="T7" s="107" t="s">
        <v>229</v>
      </c>
    </row>
    <row r="8" spans="1:20" ht="15.75" customHeight="1">
      <c r="A8" s="108"/>
      <c r="B8" s="108"/>
      <c r="C8" s="108"/>
      <c r="D8" s="108"/>
      <c r="E8" s="108"/>
      <c r="F8" s="108"/>
      <c r="G8" s="108"/>
      <c r="H8" s="108"/>
      <c r="I8" s="108"/>
      <c r="J8" s="108"/>
      <c r="K8" s="108"/>
      <c r="L8" s="108"/>
      <c r="M8" s="108"/>
      <c r="N8" s="108"/>
      <c r="O8" s="108"/>
      <c r="P8" s="108"/>
      <c r="Q8" s="108"/>
      <c r="R8" s="108"/>
      <c r="S8" s="108"/>
      <c r="T8" s="108"/>
    </row>
    <row r="9" spans="1:20">
      <c r="A9" s="108"/>
      <c r="B9" s="108"/>
      <c r="C9" s="108"/>
      <c r="D9" s="108"/>
      <c r="E9" s="108"/>
      <c r="F9" s="108"/>
      <c r="G9" s="108"/>
      <c r="H9" s="108"/>
      <c r="I9" s="108"/>
      <c r="J9" s="108"/>
      <c r="K9" s="108"/>
      <c r="L9" s="108"/>
      <c r="M9" s="108"/>
      <c r="N9" s="108"/>
      <c r="O9" s="108"/>
      <c r="P9" s="108"/>
      <c r="Q9" s="108"/>
      <c r="R9" s="108"/>
      <c r="S9" s="108"/>
      <c r="T9" s="108"/>
    </row>
    <row r="10" spans="1:20">
      <c r="A10" s="108"/>
      <c r="B10" s="108"/>
      <c r="C10" s="108"/>
      <c r="D10" s="108"/>
      <c r="E10" s="108"/>
      <c r="F10" s="108"/>
      <c r="G10" s="108"/>
      <c r="H10" s="108"/>
      <c r="I10" s="108"/>
      <c r="J10" s="108"/>
      <c r="K10" s="108"/>
      <c r="L10" s="108"/>
      <c r="M10" s="108"/>
      <c r="N10" s="108"/>
      <c r="O10" s="108"/>
      <c r="P10" s="108"/>
      <c r="Q10" s="108"/>
      <c r="R10" s="108"/>
      <c r="S10" s="108"/>
      <c r="T10" s="108"/>
    </row>
    <row r="11" spans="1:20">
      <c r="A11" s="108"/>
      <c r="B11" s="108"/>
      <c r="C11" s="108"/>
      <c r="D11" s="108"/>
      <c r="E11" s="108"/>
      <c r="F11" s="108"/>
      <c r="G11" s="108"/>
      <c r="H11" s="108"/>
      <c r="I11" s="108"/>
      <c r="J11" s="108"/>
      <c r="K11" s="108"/>
      <c r="L11" s="108"/>
      <c r="M11" s="108"/>
      <c r="N11" s="108"/>
      <c r="O11" s="108"/>
      <c r="P11" s="108"/>
      <c r="Q11" s="108"/>
      <c r="R11" s="108"/>
      <c r="S11" s="108"/>
      <c r="T11" s="108"/>
    </row>
    <row r="12" spans="1:20" ht="105" customHeight="1">
      <c r="A12" s="109"/>
      <c r="B12" s="109"/>
      <c r="C12" s="109"/>
      <c r="D12" s="109"/>
      <c r="E12" s="109"/>
      <c r="F12" s="109"/>
      <c r="G12" s="109"/>
      <c r="H12" s="109"/>
      <c r="I12" s="109"/>
      <c r="J12" s="109"/>
      <c r="K12" s="109"/>
      <c r="L12" s="109"/>
      <c r="M12" s="109"/>
      <c r="N12" s="109"/>
      <c r="O12" s="109"/>
      <c r="P12" s="109"/>
      <c r="Q12" s="109"/>
      <c r="R12" s="109"/>
      <c r="S12" s="109"/>
      <c r="T12" s="109"/>
    </row>
    <row r="13" spans="1:20" s="198" customFormat="1" ht="12.75">
      <c r="A13" s="196" t="s">
        <v>5</v>
      </c>
      <c r="B13" s="196" t="s">
        <v>6</v>
      </c>
      <c r="C13" s="197" t="s">
        <v>7</v>
      </c>
      <c r="D13" s="197" t="s">
        <v>8</v>
      </c>
      <c r="E13" s="197" t="s">
        <v>9</v>
      </c>
      <c r="F13" s="197" t="s">
        <v>15</v>
      </c>
      <c r="G13" s="197" t="s">
        <v>56</v>
      </c>
      <c r="H13" s="197" t="s">
        <v>58</v>
      </c>
      <c r="I13" s="197" t="s">
        <v>117</v>
      </c>
      <c r="J13" s="197" t="s">
        <v>118</v>
      </c>
      <c r="K13" s="197" t="s">
        <v>119</v>
      </c>
      <c r="L13" s="197" t="s">
        <v>120</v>
      </c>
      <c r="M13" s="197" t="s">
        <v>121</v>
      </c>
      <c r="N13" s="197" t="s">
        <v>122</v>
      </c>
      <c r="O13" s="197" t="s">
        <v>232</v>
      </c>
      <c r="P13" s="197" t="s">
        <v>233</v>
      </c>
      <c r="Q13" s="197" t="s">
        <v>234</v>
      </c>
      <c r="R13" s="197" t="s">
        <v>235</v>
      </c>
      <c r="S13" s="197" t="s">
        <v>236</v>
      </c>
      <c r="T13" s="197" t="s">
        <v>237</v>
      </c>
    </row>
    <row r="14" spans="1:20" s="14" customFormat="1" ht="22.5" customHeight="1">
      <c r="A14" s="62"/>
      <c r="B14" s="199" t="s">
        <v>129</v>
      </c>
      <c r="C14" s="200">
        <f>SUM(C15:C29)+2</f>
        <v>103492.4</v>
      </c>
      <c r="D14" s="200">
        <f t="shared" ref="D14:N14" si="0">SUM(D15:D29)</f>
        <v>59726.5</v>
      </c>
      <c r="E14" s="200">
        <f t="shared" si="0"/>
        <v>43763.6</v>
      </c>
      <c r="F14" s="200">
        <f t="shared" si="0"/>
        <v>0</v>
      </c>
      <c r="G14" s="200">
        <f>SUM(G15:G29)+1</f>
        <v>34258</v>
      </c>
      <c r="H14" s="200">
        <f t="shared" si="0"/>
        <v>9506</v>
      </c>
      <c r="I14" s="200">
        <f>SUM(I15:I29)+2</f>
        <v>103492.4</v>
      </c>
      <c r="J14" s="200">
        <f t="shared" si="0"/>
        <v>59726.5</v>
      </c>
      <c r="K14" s="200">
        <f>SUM(K15:K29)-1</f>
        <v>43763.899999999994</v>
      </c>
      <c r="L14" s="200">
        <f t="shared" si="0"/>
        <v>0</v>
      </c>
      <c r="M14" s="200">
        <f>SUM(M15:M29)-1</f>
        <v>34367.300000000003</v>
      </c>
      <c r="N14" s="200">
        <f t="shared" si="0"/>
        <v>9396.6</v>
      </c>
      <c r="O14" s="201">
        <f t="shared" ref="O14:O29" si="1">I14/C14*100</f>
        <v>100</v>
      </c>
      <c r="P14" s="201">
        <f t="shared" ref="P14:P29" si="2">J14/D14*100</f>
        <v>100</v>
      </c>
      <c r="Q14" s="201">
        <f t="shared" ref="Q14:Q29" si="3">K14/E14*100</f>
        <v>100.00068550119276</v>
      </c>
      <c r="R14" s="201"/>
      <c r="S14" s="201">
        <f>M14/G14*100</f>
        <v>100.3190495650651</v>
      </c>
      <c r="T14" s="201">
        <f>N14/H14*100</f>
        <v>98.849147906585316</v>
      </c>
    </row>
    <row r="15" spans="1:20" ht="22.5" customHeight="1">
      <c r="A15" s="64" t="s">
        <v>7</v>
      </c>
      <c r="B15" s="202" t="s">
        <v>206</v>
      </c>
      <c r="C15" s="203">
        <f>D15+E15</f>
        <v>4488.6000000000004</v>
      </c>
      <c r="D15" s="204">
        <v>1728.3</v>
      </c>
      <c r="E15" s="203">
        <f>SUM(F15:H15)+0.3</f>
        <v>2760.3</v>
      </c>
      <c r="F15" s="203"/>
      <c r="G15" s="205">
        <v>2253</v>
      </c>
      <c r="H15" s="203">
        <f>500+7</f>
        <v>507</v>
      </c>
      <c r="I15" s="203">
        <f>J15+K15</f>
        <v>4487.6000000000004</v>
      </c>
      <c r="J15" s="204">
        <v>1728.3</v>
      </c>
      <c r="K15" s="203">
        <f t="shared" ref="K15:K29" si="4">SUM(L15:N15)</f>
        <v>2759.3</v>
      </c>
      <c r="L15" s="203"/>
      <c r="M15" s="205">
        <v>2260</v>
      </c>
      <c r="N15" s="203">
        <v>499.3</v>
      </c>
      <c r="O15" s="206">
        <f t="shared" si="1"/>
        <v>99.977721338501979</v>
      </c>
      <c r="P15" s="206">
        <f t="shared" si="2"/>
        <v>100</v>
      </c>
      <c r="Q15" s="206">
        <f t="shared" si="3"/>
        <v>99.96377205376227</v>
      </c>
      <c r="R15" s="206"/>
      <c r="S15" s="206">
        <f t="shared" ref="S15:S29" si="5">M15/G15*100</f>
        <v>100.31069684864624</v>
      </c>
      <c r="T15" s="206">
        <f t="shared" ref="T15:T29" si="6">N15/H15*100</f>
        <v>98.481262327416175</v>
      </c>
    </row>
    <row r="16" spans="1:20" ht="22.5" customHeight="1">
      <c r="A16" s="64" t="s">
        <v>8</v>
      </c>
      <c r="B16" s="202" t="s">
        <v>207</v>
      </c>
      <c r="C16" s="203">
        <f t="shared" ref="C16:C29" si="7">D16+E16</f>
        <v>5127.5</v>
      </c>
      <c r="D16" s="204">
        <v>3319.2</v>
      </c>
      <c r="E16" s="203">
        <f>SUM(F16:H16)+0.3</f>
        <v>1808.3</v>
      </c>
      <c r="F16" s="203"/>
      <c r="G16" s="205">
        <v>1501</v>
      </c>
      <c r="H16" s="203">
        <f>300+7</f>
        <v>307</v>
      </c>
      <c r="I16" s="203">
        <f t="shared" ref="I16:I29" si="8">J16+K16</f>
        <v>5127.2</v>
      </c>
      <c r="J16" s="204">
        <v>3319.2</v>
      </c>
      <c r="K16" s="203">
        <f t="shared" si="4"/>
        <v>1808</v>
      </c>
      <c r="L16" s="203"/>
      <c r="M16" s="205">
        <v>1503</v>
      </c>
      <c r="N16" s="203">
        <v>305</v>
      </c>
      <c r="O16" s="206">
        <f t="shared" si="1"/>
        <v>99.994149195514382</v>
      </c>
      <c r="P16" s="206">
        <f t="shared" si="2"/>
        <v>100</v>
      </c>
      <c r="Q16" s="206">
        <f t="shared" si="3"/>
        <v>99.983409832439307</v>
      </c>
      <c r="R16" s="206"/>
      <c r="S16" s="206">
        <f t="shared" si="5"/>
        <v>100.13324450366423</v>
      </c>
      <c r="T16" s="206">
        <f t="shared" si="6"/>
        <v>99.348534201954394</v>
      </c>
    </row>
    <row r="17" spans="1:20" ht="22.5" customHeight="1">
      <c r="A17" s="64" t="s">
        <v>9</v>
      </c>
      <c r="B17" s="202" t="s">
        <v>208</v>
      </c>
      <c r="C17" s="203">
        <f>D17+E17+0.3</f>
        <v>4068.3</v>
      </c>
      <c r="D17" s="204">
        <v>2252</v>
      </c>
      <c r="E17" s="203">
        <f t="shared" ref="E17:E29" si="9">SUM(F17:H17)</f>
        <v>1816</v>
      </c>
      <c r="F17" s="203"/>
      <c r="G17" s="205">
        <v>1409</v>
      </c>
      <c r="H17" s="203">
        <f>400+7</f>
        <v>407</v>
      </c>
      <c r="I17" s="203">
        <f t="shared" si="8"/>
        <v>4068</v>
      </c>
      <c r="J17" s="204">
        <v>2252</v>
      </c>
      <c r="K17" s="203">
        <f t="shared" si="4"/>
        <v>1816</v>
      </c>
      <c r="L17" s="203"/>
      <c r="M17" s="205">
        <v>1410</v>
      </c>
      <c r="N17" s="203">
        <v>406</v>
      </c>
      <c r="O17" s="206">
        <f t="shared" si="1"/>
        <v>99.992625912543318</v>
      </c>
      <c r="P17" s="206">
        <f t="shared" si="2"/>
        <v>100</v>
      </c>
      <c r="Q17" s="206">
        <f t="shared" si="3"/>
        <v>100</v>
      </c>
      <c r="R17" s="206"/>
      <c r="S17" s="206">
        <f t="shared" si="5"/>
        <v>100.07097232079489</v>
      </c>
      <c r="T17" s="206">
        <f t="shared" si="6"/>
        <v>99.754299754299751</v>
      </c>
    </row>
    <row r="18" spans="1:20" ht="22.5" customHeight="1">
      <c r="A18" s="64" t="s">
        <v>15</v>
      </c>
      <c r="B18" s="202" t="s">
        <v>209</v>
      </c>
      <c r="C18" s="203">
        <f t="shared" si="7"/>
        <v>6998</v>
      </c>
      <c r="D18" s="204">
        <v>3350</v>
      </c>
      <c r="E18" s="203">
        <f t="shared" si="9"/>
        <v>3648</v>
      </c>
      <c r="F18" s="203"/>
      <c r="G18" s="205">
        <v>2930</v>
      </c>
      <c r="H18" s="203">
        <f>700+18</f>
        <v>718</v>
      </c>
      <c r="I18" s="203">
        <f t="shared" si="8"/>
        <v>6998</v>
      </c>
      <c r="J18" s="204">
        <v>3350</v>
      </c>
      <c r="K18" s="203">
        <f t="shared" si="4"/>
        <v>3648</v>
      </c>
      <c r="L18" s="203"/>
      <c r="M18" s="205">
        <v>2931</v>
      </c>
      <c r="N18" s="203">
        <v>717</v>
      </c>
      <c r="O18" s="206">
        <f t="shared" si="1"/>
        <v>100</v>
      </c>
      <c r="P18" s="206">
        <f t="shared" si="2"/>
        <v>100</v>
      </c>
      <c r="Q18" s="206">
        <f t="shared" si="3"/>
        <v>100</v>
      </c>
      <c r="R18" s="206"/>
      <c r="S18" s="206">
        <f t="shared" si="5"/>
        <v>100.03412969283276</v>
      </c>
      <c r="T18" s="206">
        <f t="shared" si="6"/>
        <v>99.860724233983291</v>
      </c>
    </row>
    <row r="19" spans="1:20" ht="22.5" customHeight="1">
      <c r="A19" s="64" t="s">
        <v>56</v>
      </c>
      <c r="B19" s="202" t="s">
        <v>210</v>
      </c>
      <c r="C19" s="203">
        <f t="shared" si="7"/>
        <v>7499</v>
      </c>
      <c r="D19" s="204">
        <v>4327</v>
      </c>
      <c r="E19" s="203">
        <f t="shared" si="9"/>
        <v>3172</v>
      </c>
      <c r="F19" s="203"/>
      <c r="G19" s="205">
        <v>2554</v>
      </c>
      <c r="H19" s="203">
        <f>600+18</f>
        <v>618</v>
      </c>
      <c r="I19" s="203">
        <f t="shared" si="8"/>
        <v>7499</v>
      </c>
      <c r="J19" s="204">
        <v>4327</v>
      </c>
      <c r="K19" s="203">
        <f t="shared" si="4"/>
        <v>3172</v>
      </c>
      <c r="L19" s="203"/>
      <c r="M19" s="205">
        <v>2560</v>
      </c>
      <c r="N19" s="203">
        <v>612</v>
      </c>
      <c r="O19" s="206">
        <f t="shared" si="1"/>
        <v>100</v>
      </c>
      <c r="P19" s="206">
        <f t="shared" si="2"/>
        <v>100</v>
      </c>
      <c r="Q19" s="206">
        <f t="shared" si="3"/>
        <v>100</v>
      </c>
      <c r="R19" s="206"/>
      <c r="S19" s="206">
        <f t="shared" si="5"/>
        <v>100.23492560689115</v>
      </c>
      <c r="T19" s="206">
        <f t="shared" si="6"/>
        <v>99.029126213592235</v>
      </c>
    </row>
    <row r="20" spans="1:20" ht="22.5" customHeight="1">
      <c r="A20" s="64" t="s">
        <v>58</v>
      </c>
      <c r="B20" s="202" t="s">
        <v>211</v>
      </c>
      <c r="C20" s="203">
        <f t="shared" si="7"/>
        <v>6204</v>
      </c>
      <c r="D20" s="204">
        <v>3749</v>
      </c>
      <c r="E20" s="203">
        <f t="shared" si="9"/>
        <v>2455</v>
      </c>
      <c r="F20" s="203"/>
      <c r="G20" s="205">
        <v>1737</v>
      </c>
      <c r="H20" s="203">
        <f>700+18</f>
        <v>718</v>
      </c>
      <c r="I20" s="203">
        <f t="shared" si="8"/>
        <v>6204</v>
      </c>
      <c r="J20" s="204">
        <v>3749</v>
      </c>
      <c r="K20" s="203">
        <f t="shared" si="4"/>
        <v>2455</v>
      </c>
      <c r="L20" s="203"/>
      <c r="M20" s="205">
        <v>1741</v>
      </c>
      <c r="N20" s="203">
        <v>714</v>
      </c>
      <c r="O20" s="206">
        <f t="shared" si="1"/>
        <v>100</v>
      </c>
      <c r="P20" s="206">
        <f t="shared" si="2"/>
        <v>100</v>
      </c>
      <c r="Q20" s="206">
        <f t="shared" si="3"/>
        <v>100</v>
      </c>
      <c r="R20" s="206"/>
      <c r="S20" s="206">
        <f t="shared" si="5"/>
        <v>100.23028209556708</v>
      </c>
      <c r="T20" s="206">
        <f t="shared" si="6"/>
        <v>99.442896935933149</v>
      </c>
    </row>
    <row r="21" spans="1:20" ht="22.5" customHeight="1">
      <c r="A21" s="64" t="s">
        <v>117</v>
      </c>
      <c r="B21" s="202" t="s">
        <v>212</v>
      </c>
      <c r="C21" s="203">
        <f t="shared" si="7"/>
        <v>5786</v>
      </c>
      <c r="D21" s="204">
        <v>3280</v>
      </c>
      <c r="E21" s="203">
        <f t="shared" si="9"/>
        <v>2506</v>
      </c>
      <c r="F21" s="203"/>
      <c r="G21" s="205">
        <v>1793</v>
      </c>
      <c r="H21" s="203">
        <f>700+13</f>
        <v>713</v>
      </c>
      <c r="I21" s="203">
        <f t="shared" si="8"/>
        <v>5786</v>
      </c>
      <c r="J21" s="204">
        <v>3280</v>
      </c>
      <c r="K21" s="203">
        <f t="shared" si="4"/>
        <v>2506</v>
      </c>
      <c r="L21" s="203"/>
      <c r="M21" s="205">
        <v>1810</v>
      </c>
      <c r="N21" s="203">
        <v>696</v>
      </c>
      <c r="O21" s="206">
        <f t="shared" si="1"/>
        <v>100</v>
      </c>
      <c r="P21" s="206">
        <f t="shared" si="2"/>
        <v>100</v>
      </c>
      <c r="Q21" s="206">
        <f t="shared" si="3"/>
        <v>100</v>
      </c>
      <c r="R21" s="206"/>
      <c r="S21" s="206">
        <f t="shared" si="5"/>
        <v>100.94813162297824</v>
      </c>
      <c r="T21" s="206">
        <f t="shared" si="6"/>
        <v>97.615708274894814</v>
      </c>
    </row>
    <row r="22" spans="1:20" ht="22.5" customHeight="1">
      <c r="A22" s="64" t="s">
        <v>118</v>
      </c>
      <c r="B22" s="202" t="s">
        <v>213</v>
      </c>
      <c r="C22" s="203">
        <f t="shared" si="7"/>
        <v>8060</v>
      </c>
      <c r="D22" s="204">
        <v>4656</v>
      </c>
      <c r="E22" s="203">
        <f t="shared" si="9"/>
        <v>3404</v>
      </c>
      <c r="F22" s="203"/>
      <c r="G22" s="205">
        <v>1579</v>
      </c>
      <c r="H22" s="203">
        <f>440+1373+12</f>
        <v>1825</v>
      </c>
      <c r="I22" s="203">
        <f t="shared" si="8"/>
        <v>8060.6</v>
      </c>
      <c r="J22" s="204">
        <v>4656</v>
      </c>
      <c r="K22" s="203">
        <f t="shared" si="4"/>
        <v>3404.6</v>
      </c>
      <c r="L22" s="203"/>
      <c r="M22" s="205">
        <v>1610.3</v>
      </c>
      <c r="N22" s="203">
        <v>1794.3</v>
      </c>
      <c r="O22" s="206">
        <f t="shared" si="1"/>
        <v>100.00744416873451</v>
      </c>
      <c r="P22" s="206">
        <f t="shared" si="2"/>
        <v>100</v>
      </c>
      <c r="Q22" s="206">
        <f t="shared" si="3"/>
        <v>100.01762632197415</v>
      </c>
      <c r="R22" s="206"/>
      <c r="S22" s="206">
        <f t="shared" si="5"/>
        <v>101.98226725775808</v>
      </c>
      <c r="T22" s="206">
        <f t="shared" si="6"/>
        <v>98.317808219178076</v>
      </c>
    </row>
    <row r="23" spans="1:20" ht="22.5" customHeight="1">
      <c r="A23" s="64" t="s">
        <v>119</v>
      </c>
      <c r="B23" s="202" t="s">
        <v>214</v>
      </c>
      <c r="C23" s="203">
        <f t="shared" si="7"/>
        <v>7622.5</v>
      </c>
      <c r="D23" s="204">
        <v>5569</v>
      </c>
      <c r="E23" s="203">
        <f t="shared" si="9"/>
        <v>2053.5</v>
      </c>
      <c r="F23" s="203"/>
      <c r="G23" s="205">
        <v>2035.5</v>
      </c>
      <c r="H23" s="203">
        <f>18</f>
        <v>18</v>
      </c>
      <c r="I23" s="203">
        <f t="shared" si="8"/>
        <v>7623</v>
      </c>
      <c r="J23" s="204">
        <v>5569</v>
      </c>
      <c r="K23" s="203">
        <f t="shared" si="4"/>
        <v>2054</v>
      </c>
      <c r="L23" s="203"/>
      <c r="M23" s="205">
        <v>2036</v>
      </c>
      <c r="N23" s="203">
        <v>18</v>
      </c>
      <c r="O23" s="206">
        <f t="shared" si="1"/>
        <v>100.006559527714</v>
      </c>
      <c r="P23" s="206">
        <f t="shared" si="2"/>
        <v>100</v>
      </c>
      <c r="Q23" s="206">
        <f t="shared" si="3"/>
        <v>100.02434867299732</v>
      </c>
      <c r="R23" s="206"/>
      <c r="S23" s="206">
        <f t="shared" si="5"/>
        <v>100.02456398919183</v>
      </c>
      <c r="T23" s="206">
        <f t="shared" si="6"/>
        <v>100</v>
      </c>
    </row>
    <row r="24" spans="1:20" ht="22.5" customHeight="1">
      <c r="A24" s="64" t="s">
        <v>120</v>
      </c>
      <c r="B24" s="202" t="s">
        <v>215</v>
      </c>
      <c r="C24" s="203">
        <f t="shared" si="7"/>
        <v>8057</v>
      </c>
      <c r="D24" s="204">
        <v>4472</v>
      </c>
      <c r="E24" s="203">
        <f t="shared" si="9"/>
        <v>3585</v>
      </c>
      <c r="F24" s="203"/>
      <c r="G24" s="203">
        <v>2440</v>
      </c>
      <c r="H24" s="203">
        <f>800+322+23</f>
        <v>1145</v>
      </c>
      <c r="I24" s="203">
        <f>J24+K24-1</f>
        <v>8057</v>
      </c>
      <c r="J24" s="204">
        <v>4472</v>
      </c>
      <c r="K24" s="203">
        <f t="shared" si="4"/>
        <v>3586</v>
      </c>
      <c r="L24" s="203"/>
      <c r="M24" s="205">
        <v>2451</v>
      </c>
      <c r="N24" s="203">
        <v>1135</v>
      </c>
      <c r="O24" s="206">
        <f t="shared" si="1"/>
        <v>100</v>
      </c>
      <c r="P24" s="206">
        <f t="shared" si="2"/>
        <v>100</v>
      </c>
      <c r="Q24" s="206">
        <f t="shared" si="3"/>
        <v>100.0278940027894</v>
      </c>
      <c r="R24" s="206"/>
      <c r="S24" s="206">
        <f t="shared" si="5"/>
        <v>100.45081967213115</v>
      </c>
      <c r="T24" s="206">
        <f t="shared" si="6"/>
        <v>99.126637554585145</v>
      </c>
    </row>
    <row r="25" spans="1:20" ht="22.5" customHeight="1">
      <c r="A25" s="64" t="s">
        <v>121</v>
      </c>
      <c r="B25" s="202" t="s">
        <v>216</v>
      </c>
      <c r="C25" s="203">
        <f t="shared" si="7"/>
        <v>7580.5</v>
      </c>
      <c r="D25" s="204">
        <v>4263</v>
      </c>
      <c r="E25" s="203">
        <f t="shared" si="9"/>
        <v>3317.5</v>
      </c>
      <c r="F25" s="203"/>
      <c r="G25" s="203">
        <v>2910.5</v>
      </c>
      <c r="H25" s="203">
        <f>400+7</f>
        <v>407</v>
      </c>
      <c r="I25" s="203">
        <f>J25+K25</f>
        <v>7581</v>
      </c>
      <c r="J25" s="204">
        <v>4263</v>
      </c>
      <c r="K25" s="203">
        <f t="shared" si="4"/>
        <v>3318</v>
      </c>
      <c r="L25" s="203"/>
      <c r="M25" s="205">
        <v>2923</v>
      </c>
      <c r="N25" s="203">
        <v>395</v>
      </c>
      <c r="O25" s="206">
        <f t="shared" si="1"/>
        <v>100.00659587098477</v>
      </c>
      <c r="P25" s="206">
        <f t="shared" si="2"/>
        <v>100</v>
      </c>
      <c r="Q25" s="206">
        <f t="shared" si="3"/>
        <v>100.01507159005274</v>
      </c>
      <c r="R25" s="206"/>
      <c r="S25" s="206">
        <f t="shared" si="5"/>
        <v>100.4294794708813</v>
      </c>
      <c r="T25" s="206">
        <f t="shared" si="6"/>
        <v>97.051597051597042</v>
      </c>
    </row>
    <row r="26" spans="1:20" ht="22.5" customHeight="1">
      <c r="A26" s="64" t="s">
        <v>122</v>
      </c>
      <c r="B26" s="202" t="s">
        <v>217</v>
      </c>
      <c r="C26" s="203">
        <f t="shared" si="7"/>
        <v>7242</v>
      </c>
      <c r="D26" s="204">
        <v>4230</v>
      </c>
      <c r="E26" s="203">
        <f>SUM(F26:H26)</f>
        <v>3012</v>
      </c>
      <c r="F26" s="203"/>
      <c r="G26" s="203">
        <v>2399</v>
      </c>
      <c r="H26" s="203">
        <f>600+13</f>
        <v>613</v>
      </c>
      <c r="I26" s="203">
        <f t="shared" si="8"/>
        <v>7242</v>
      </c>
      <c r="J26" s="204">
        <v>4230</v>
      </c>
      <c r="K26" s="203">
        <f t="shared" si="4"/>
        <v>3012</v>
      </c>
      <c r="L26" s="203"/>
      <c r="M26" s="205">
        <v>2403</v>
      </c>
      <c r="N26" s="203">
        <v>609</v>
      </c>
      <c r="O26" s="206">
        <f t="shared" si="1"/>
        <v>100</v>
      </c>
      <c r="P26" s="206">
        <f t="shared" si="2"/>
        <v>100</v>
      </c>
      <c r="Q26" s="206">
        <f t="shared" si="3"/>
        <v>100</v>
      </c>
      <c r="R26" s="206"/>
      <c r="S26" s="206">
        <f t="shared" si="5"/>
        <v>100.16673614005836</v>
      </c>
      <c r="T26" s="206">
        <f t="shared" si="6"/>
        <v>99.347471451876018</v>
      </c>
    </row>
    <row r="27" spans="1:20" ht="22.5" customHeight="1">
      <c r="A27" s="64" t="s">
        <v>123</v>
      </c>
      <c r="B27" s="202" t="s">
        <v>218</v>
      </c>
      <c r="C27" s="203">
        <f t="shared" si="7"/>
        <v>9870</v>
      </c>
      <c r="D27" s="204">
        <v>5410</v>
      </c>
      <c r="E27" s="203">
        <f t="shared" si="9"/>
        <v>4460</v>
      </c>
      <c r="F27" s="203"/>
      <c r="G27" s="203">
        <v>4442</v>
      </c>
      <c r="H27" s="203">
        <f>18</f>
        <v>18</v>
      </c>
      <c r="I27" s="203">
        <f t="shared" si="8"/>
        <v>9870</v>
      </c>
      <c r="J27" s="204">
        <v>5410</v>
      </c>
      <c r="K27" s="203">
        <f t="shared" si="4"/>
        <v>4460</v>
      </c>
      <c r="L27" s="203"/>
      <c r="M27" s="205">
        <v>4442</v>
      </c>
      <c r="N27" s="203">
        <v>18</v>
      </c>
      <c r="O27" s="206">
        <f t="shared" si="1"/>
        <v>100</v>
      </c>
      <c r="P27" s="206">
        <f t="shared" si="2"/>
        <v>100</v>
      </c>
      <c r="Q27" s="206">
        <f t="shared" si="3"/>
        <v>100</v>
      </c>
      <c r="R27" s="206"/>
      <c r="S27" s="206">
        <f t="shared" si="5"/>
        <v>100</v>
      </c>
      <c r="T27" s="206">
        <f t="shared" si="6"/>
        <v>100</v>
      </c>
    </row>
    <row r="28" spans="1:20" ht="22.5" customHeight="1">
      <c r="A28" s="64" t="s">
        <v>219</v>
      </c>
      <c r="B28" s="202" t="s">
        <v>220</v>
      </c>
      <c r="C28" s="203">
        <f t="shared" si="7"/>
        <v>7789</v>
      </c>
      <c r="D28" s="204">
        <v>4876</v>
      </c>
      <c r="E28" s="203">
        <f t="shared" si="9"/>
        <v>2913</v>
      </c>
      <c r="F28" s="203"/>
      <c r="G28" s="203">
        <v>2480</v>
      </c>
      <c r="H28" s="203">
        <f>410+23</f>
        <v>433</v>
      </c>
      <c r="I28" s="203">
        <f t="shared" si="8"/>
        <v>7789</v>
      </c>
      <c r="J28" s="204">
        <v>4876</v>
      </c>
      <c r="K28" s="203">
        <f t="shared" si="4"/>
        <v>2913</v>
      </c>
      <c r="L28" s="203"/>
      <c r="M28" s="205">
        <v>2485</v>
      </c>
      <c r="N28" s="203">
        <v>428</v>
      </c>
      <c r="O28" s="206">
        <f t="shared" si="1"/>
        <v>100</v>
      </c>
      <c r="P28" s="206">
        <f t="shared" si="2"/>
        <v>100</v>
      </c>
      <c r="Q28" s="206">
        <f t="shared" si="3"/>
        <v>100</v>
      </c>
      <c r="R28" s="206"/>
      <c r="S28" s="206">
        <f t="shared" si="5"/>
        <v>100.20161290322579</v>
      </c>
      <c r="T28" s="206">
        <f t="shared" si="6"/>
        <v>98.845265588914557</v>
      </c>
    </row>
    <row r="29" spans="1:20" ht="22.5" customHeight="1">
      <c r="A29" s="64" t="s">
        <v>221</v>
      </c>
      <c r="B29" s="202" t="s">
        <v>222</v>
      </c>
      <c r="C29" s="203">
        <f t="shared" si="7"/>
        <v>7098</v>
      </c>
      <c r="D29" s="204">
        <v>4245</v>
      </c>
      <c r="E29" s="203">
        <f t="shared" si="9"/>
        <v>2853</v>
      </c>
      <c r="F29" s="203"/>
      <c r="G29" s="203">
        <v>1794</v>
      </c>
      <c r="H29" s="203">
        <f>300+747+12</f>
        <v>1059</v>
      </c>
      <c r="I29" s="203">
        <f t="shared" si="8"/>
        <v>7098</v>
      </c>
      <c r="J29" s="204">
        <v>4245</v>
      </c>
      <c r="K29" s="203">
        <f t="shared" si="4"/>
        <v>2853</v>
      </c>
      <c r="L29" s="203"/>
      <c r="M29" s="205">
        <v>1803</v>
      </c>
      <c r="N29" s="203">
        <v>1050</v>
      </c>
      <c r="O29" s="206">
        <f t="shared" si="1"/>
        <v>100</v>
      </c>
      <c r="P29" s="206">
        <f t="shared" si="2"/>
        <v>100</v>
      </c>
      <c r="Q29" s="206">
        <f t="shared" si="3"/>
        <v>100</v>
      </c>
      <c r="R29" s="206"/>
      <c r="S29" s="206">
        <f t="shared" si="5"/>
        <v>100.50167224080269</v>
      </c>
      <c r="T29" s="206">
        <f t="shared" si="6"/>
        <v>99.150141643059484</v>
      </c>
    </row>
    <row r="30" spans="1:20" ht="18.75">
      <c r="A30" s="16"/>
      <c r="B30" s="10"/>
      <c r="C30" s="10"/>
      <c r="D30" s="10"/>
      <c r="E30" s="10"/>
      <c r="F30" s="10"/>
      <c r="G30" s="10"/>
      <c r="H30" s="10"/>
      <c r="I30" s="10"/>
      <c r="J30" s="10"/>
      <c r="K30" s="10"/>
      <c r="L30" s="10"/>
      <c r="M30" s="10"/>
      <c r="N30" s="10"/>
      <c r="O30" s="10"/>
      <c r="P30" s="10"/>
      <c r="Q30" s="10"/>
      <c r="R30" s="10"/>
      <c r="S30" s="10"/>
      <c r="T30" s="10"/>
    </row>
    <row r="31" spans="1:20" ht="18.75">
      <c r="A31" s="12"/>
      <c r="B31" s="9"/>
      <c r="C31" s="10"/>
      <c r="D31" s="10"/>
      <c r="E31" s="10"/>
      <c r="F31" s="10"/>
      <c r="G31" s="10"/>
      <c r="H31" s="10"/>
      <c r="I31" s="10"/>
      <c r="J31" s="10"/>
      <c r="K31" s="10"/>
      <c r="L31" s="10"/>
      <c r="M31" s="10"/>
      <c r="N31" s="10"/>
      <c r="O31" s="10"/>
      <c r="P31" s="10"/>
      <c r="Q31" s="10"/>
      <c r="R31" s="10"/>
      <c r="S31" s="10"/>
      <c r="T31" s="10"/>
    </row>
    <row r="32" spans="1:20" ht="18.75">
      <c r="A32" s="10"/>
      <c r="B32" s="10"/>
      <c r="C32" s="10"/>
      <c r="D32" s="10"/>
      <c r="E32" s="10"/>
      <c r="F32" s="10"/>
      <c r="G32" s="10"/>
      <c r="H32" s="10"/>
      <c r="I32" s="10"/>
      <c r="J32" s="10"/>
      <c r="K32" s="10"/>
      <c r="L32" s="10"/>
      <c r="M32" s="10"/>
      <c r="N32" s="10"/>
      <c r="O32" s="10"/>
      <c r="P32" s="10"/>
      <c r="Q32" s="10"/>
      <c r="R32" s="10"/>
      <c r="S32" s="10"/>
      <c r="T32" s="10"/>
    </row>
    <row r="33" spans="1:20" ht="18.75">
      <c r="A33" s="10"/>
      <c r="B33" s="10"/>
      <c r="C33" s="10"/>
      <c r="D33" s="10"/>
      <c r="E33" s="10"/>
      <c r="F33" s="10"/>
      <c r="G33" s="10"/>
      <c r="H33" s="10"/>
      <c r="I33" s="10"/>
      <c r="J33" s="10"/>
      <c r="K33" s="10"/>
      <c r="L33" s="10"/>
      <c r="M33" s="10"/>
      <c r="N33" s="10"/>
      <c r="O33" s="10"/>
      <c r="P33" s="10"/>
      <c r="Q33" s="10"/>
      <c r="R33" s="10"/>
      <c r="S33" s="10"/>
      <c r="T33" s="10"/>
    </row>
    <row r="34" spans="1:20" ht="18.75">
      <c r="A34" s="10"/>
      <c r="B34" s="10"/>
      <c r="C34" s="10"/>
      <c r="D34" s="10"/>
      <c r="E34" s="10"/>
      <c r="F34" s="10"/>
      <c r="G34" s="10"/>
      <c r="H34" s="10"/>
      <c r="I34" s="10"/>
      <c r="J34" s="10"/>
      <c r="K34" s="10"/>
      <c r="L34" s="10"/>
      <c r="M34" s="10"/>
      <c r="N34" s="10"/>
      <c r="O34" s="10"/>
      <c r="P34" s="10"/>
      <c r="Q34" s="10"/>
      <c r="R34" s="10"/>
      <c r="S34" s="10"/>
      <c r="T34" s="10"/>
    </row>
    <row r="35" spans="1:20" ht="18.75">
      <c r="A35" s="10"/>
      <c r="B35" s="10"/>
      <c r="C35" s="10"/>
      <c r="D35" s="10"/>
      <c r="E35" s="10"/>
      <c r="F35" s="10"/>
      <c r="G35" s="10"/>
      <c r="H35" s="10"/>
      <c r="I35" s="10"/>
      <c r="J35" s="10"/>
      <c r="K35" s="10"/>
      <c r="L35" s="10"/>
      <c r="M35" s="10"/>
      <c r="N35" s="10"/>
      <c r="O35" s="10"/>
      <c r="P35" s="10"/>
      <c r="Q35" s="10"/>
      <c r="R35" s="10"/>
      <c r="S35" s="10"/>
      <c r="T35" s="10"/>
    </row>
    <row r="36" spans="1:20" ht="18.75">
      <c r="A36" s="10"/>
      <c r="B36" s="10"/>
      <c r="C36" s="10"/>
      <c r="D36" s="10"/>
      <c r="E36" s="10"/>
      <c r="F36" s="10"/>
      <c r="G36" s="10"/>
      <c r="H36" s="10"/>
      <c r="I36" s="10"/>
      <c r="J36" s="10"/>
      <c r="K36" s="10"/>
      <c r="L36" s="10"/>
      <c r="M36" s="10"/>
      <c r="N36" s="10"/>
      <c r="O36" s="10"/>
      <c r="P36" s="10"/>
      <c r="Q36" s="10"/>
      <c r="R36" s="10"/>
      <c r="S36" s="10"/>
      <c r="T36" s="10"/>
    </row>
    <row r="37" spans="1:20" ht="18.75">
      <c r="A37" s="10"/>
      <c r="B37" s="10"/>
      <c r="C37" s="10"/>
      <c r="D37" s="10"/>
      <c r="E37" s="10"/>
      <c r="F37" s="10"/>
      <c r="G37" s="10"/>
      <c r="H37" s="10"/>
      <c r="I37" s="10"/>
      <c r="J37" s="10"/>
      <c r="K37" s="10"/>
      <c r="L37" s="10"/>
      <c r="M37" s="10"/>
      <c r="N37" s="10"/>
      <c r="O37" s="10"/>
      <c r="P37" s="10"/>
      <c r="Q37" s="10"/>
      <c r="R37" s="10"/>
      <c r="S37" s="10"/>
      <c r="T37" s="10"/>
    </row>
    <row r="38" spans="1:20" ht="18.75">
      <c r="A38" s="10"/>
      <c r="B38" s="10"/>
      <c r="C38" s="10"/>
      <c r="D38" s="10"/>
      <c r="E38" s="10"/>
      <c r="F38" s="10"/>
      <c r="G38" s="10"/>
      <c r="H38" s="10"/>
      <c r="I38" s="10"/>
      <c r="J38" s="10"/>
      <c r="K38" s="10"/>
      <c r="L38" s="10"/>
      <c r="M38" s="10"/>
      <c r="N38" s="10"/>
      <c r="O38" s="10"/>
      <c r="P38" s="10"/>
      <c r="Q38" s="10"/>
      <c r="R38" s="10"/>
      <c r="S38" s="10"/>
      <c r="T38" s="10"/>
    </row>
    <row r="39" spans="1:20" ht="18.75">
      <c r="A39" s="10"/>
      <c r="B39" s="10"/>
      <c r="C39" s="10"/>
      <c r="D39" s="10"/>
      <c r="E39" s="10"/>
      <c r="F39" s="10"/>
      <c r="G39" s="10"/>
      <c r="H39" s="10"/>
      <c r="I39" s="10"/>
      <c r="J39" s="10"/>
      <c r="K39" s="10"/>
      <c r="L39" s="10"/>
      <c r="M39" s="10"/>
      <c r="N39" s="10"/>
      <c r="O39" s="10"/>
      <c r="P39" s="10"/>
      <c r="Q39" s="10"/>
      <c r="R39" s="10"/>
      <c r="S39" s="10"/>
      <c r="T39" s="10"/>
    </row>
    <row r="40" spans="1:20" ht="18.75">
      <c r="A40" s="10"/>
      <c r="B40" s="10"/>
      <c r="C40" s="10"/>
      <c r="D40" s="10"/>
      <c r="E40" s="10"/>
      <c r="F40" s="10"/>
      <c r="G40" s="10"/>
      <c r="H40" s="10"/>
      <c r="I40" s="10"/>
      <c r="J40" s="10"/>
      <c r="K40" s="10"/>
      <c r="L40" s="10"/>
      <c r="M40" s="10"/>
      <c r="N40" s="10"/>
      <c r="O40" s="10"/>
      <c r="P40" s="10"/>
      <c r="Q40" s="10"/>
      <c r="R40" s="10"/>
      <c r="S40" s="10"/>
      <c r="T40" s="10"/>
    </row>
    <row r="41" spans="1:20" ht="18.75">
      <c r="A41" s="10"/>
      <c r="B41" s="10"/>
      <c r="C41" s="10"/>
      <c r="D41" s="10"/>
      <c r="E41" s="10"/>
      <c r="F41" s="10"/>
      <c r="G41" s="10"/>
      <c r="H41" s="10"/>
      <c r="I41" s="10"/>
      <c r="J41" s="10"/>
      <c r="K41" s="10"/>
      <c r="L41" s="10"/>
      <c r="M41" s="10"/>
      <c r="N41" s="10"/>
      <c r="O41" s="10"/>
      <c r="P41" s="10"/>
      <c r="Q41" s="10"/>
      <c r="R41" s="10"/>
      <c r="S41" s="10"/>
      <c r="T41" s="10"/>
    </row>
    <row r="42" spans="1:20" ht="18.75">
      <c r="A42" s="10"/>
      <c r="B42" s="10"/>
      <c r="C42" s="10"/>
      <c r="D42" s="10"/>
      <c r="E42" s="10"/>
      <c r="F42" s="10"/>
      <c r="G42" s="10"/>
      <c r="H42" s="10"/>
      <c r="I42" s="10"/>
      <c r="J42" s="10"/>
      <c r="K42" s="10"/>
      <c r="L42" s="10"/>
      <c r="M42" s="10"/>
      <c r="N42" s="10"/>
      <c r="O42" s="10"/>
      <c r="P42" s="10"/>
      <c r="Q42" s="10"/>
      <c r="R42" s="10"/>
      <c r="S42" s="10"/>
      <c r="T42" s="10"/>
    </row>
    <row r="43" spans="1:20" ht="18.75">
      <c r="A43" s="10"/>
      <c r="B43" s="10"/>
      <c r="C43" s="10"/>
      <c r="D43" s="10"/>
      <c r="E43" s="10"/>
      <c r="F43" s="10"/>
      <c r="G43" s="10"/>
      <c r="H43" s="10"/>
      <c r="I43" s="10"/>
      <c r="J43" s="10"/>
      <c r="K43" s="10"/>
      <c r="L43" s="10"/>
      <c r="M43" s="10"/>
      <c r="N43" s="10"/>
      <c r="O43" s="10"/>
      <c r="P43" s="10"/>
      <c r="Q43" s="10"/>
      <c r="R43" s="10"/>
      <c r="S43" s="10"/>
      <c r="T43" s="10"/>
    </row>
    <row r="44" spans="1:20" ht="18.75">
      <c r="A44" s="10"/>
      <c r="B44" s="10"/>
      <c r="C44" s="10"/>
      <c r="D44" s="10"/>
      <c r="E44" s="10"/>
      <c r="F44" s="10"/>
      <c r="G44" s="10"/>
      <c r="H44" s="10"/>
      <c r="I44" s="10"/>
      <c r="J44" s="10"/>
      <c r="K44" s="10"/>
      <c r="L44" s="10"/>
      <c r="M44" s="10"/>
      <c r="N44" s="10"/>
      <c r="O44" s="10"/>
      <c r="P44" s="10"/>
      <c r="Q44" s="10"/>
      <c r="R44" s="10"/>
      <c r="S44" s="10"/>
      <c r="T44" s="10"/>
    </row>
    <row r="45" spans="1:20" ht="18.75">
      <c r="A45" s="10"/>
      <c r="B45" s="10"/>
      <c r="C45" s="10"/>
      <c r="D45" s="10"/>
      <c r="E45" s="10"/>
      <c r="F45" s="10"/>
      <c r="G45" s="10"/>
      <c r="H45" s="10"/>
      <c r="I45" s="10"/>
      <c r="J45" s="10"/>
      <c r="K45" s="10"/>
      <c r="L45" s="10"/>
      <c r="M45" s="10"/>
      <c r="N45" s="10"/>
      <c r="O45" s="10"/>
      <c r="P45" s="10"/>
      <c r="Q45" s="10"/>
      <c r="R45" s="10"/>
      <c r="S45" s="10"/>
      <c r="T45" s="10"/>
    </row>
  </sheetData>
  <mergeCells count="31">
    <mergeCell ref="A1:D1"/>
    <mergeCell ref="A5:A12"/>
    <mergeCell ref="B5:B12"/>
    <mergeCell ref="C5:H5"/>
    <mergeCell ref="O5:T5"/>
    <mergeCell ref="C6:C12"/>
    <mergeCell ref="D6:D12"/>
    <mergeCell ref="E6:H6"/>
    <mergeCell ref="I6:I12"/>
    <mergeCell ref="J6:J12"/>
    <mergeCell ref="E7:E12"/>
    <mergeCell ref="F7:F12"/>
    <mergeCell ref="G7:G12"/>
    <mergeCell ref="H7:H12"/>
    <mergeCell ref="K7:K12"/>
    <mergeCell ref="R1:T1"/>
    <mergeCell ref="R7:R12"/>
    <mergeCell ref="S7:S12"/>
    <mergeCell ref="T7:T12"/>
    <mergeCell ref="L7:L12"/>
    <mergeCell ref="M7:M12"/>
    <mergeCell ref="N7:N12"/>
    <mergeCell ref="Q7:Q12"/>
    <mergeCell ref="K6:N6"/>
    <mergeCell ref="O6:O12"/>
    <mergeCell ref="P6:P12"/>
    <mergeCell ref="Q6:T6"/>
    <mergeCell ref="A2:T2"/>
    <mergeCell ref="A3:T3"/>
    <mergeCell ref="E4:H4"/>
    <mergeCell ref="I5:N5"/>
  </mergeCells>
  <printOptions horizontalCentered="1"/>
  <pageMargins left="0.24" right="0.16" top="0.37" bottom="0.5" header="0.3" footer="0.3"/>
  <pageSetup paperSize="9" scale="70" orientation="landscape" verticalDpi="0" r:id="rId1"/>
  <headerFoot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8"/>
  <sheetViews>
    <sheetView workbookViewId="0">
      <selection sqref="A1:B1"/>
    </sheetView>
  </sheetViews>
  <sheetFormatPr defaultColWidth="9.140625" defaultRowHeight="15.75"/>
  <cols>
    <col min="1" max="1" width="5.140625" style="40" customWidth="1"/>
    <col min="2" max="2" width="36.7109375" style="31" customWidth="1"/>
    <col min="3" max="3" width="11.5703125" style="31" bestFit="1" customWidth="1"/>
    <col min="4" max="4" width="13.140625" style="31" customWidth="1"/>
    <col min="5" max="5" width="11" style="31" customWidth="1"/>
    <col min="6" max="6" width="11.5703125" style="31" bestFit="1" customWidth="1"/>
    <col min="7" max="7" width="12.28515625" style="31" customWidth="1"/>
    <col min="8" max="8" width="12" style="31" customWidth="1"/>
    <col min="9" max="10" width="11.5703125" style="31" bestFit="1" customWidth="1"/>
    <col min="11" max="11" width="11.28515625" style="31" customWidth="1"/>
    <col min="12" max="12" width="8.5703125" style="31" customWidth="1"/>
    <col min="13" max="13" width="10.42578125" style="31" bestFit="1" customWidth="1"/>
    <col min="14" max="14" width="13" style="31" customWidth="1"/>
    <col min="15" max="16384" width="9.140625" style="31"/>
  </cols>
  <sheetData>
    <row r="1" spans="1:21" ht="18.75">
      <c r="A1" s="100"/>
      <c r="B1" s="100"/>
      <c r="C1" s="29"/>
      <c r="D1" s="29"/>
      <c r="E1" s="29"/>
      <c r="F1" s="29"/>
      <c r="G1" s="29"/>
      <c r="H1" s="29"/>
      <c r="I1" s="29"/>
      <c r="J1" s="29"/>
      <c r="K1" s="29"/>
      <c r="L1" s="29"/>
      <c r="M1" s="30"/>
      <c r="N1" s="30"/>
      <c r="O1" s="29"/>
      <c r="P1" s="92" t="s">
        <v>251</v>
      </c>
      <c r="Q1" s="92"/>
      <c r="R1" s="92"/>
    </row>
    <row r="2" spans="1:21" ht="20.25">
      <c r="A2" s="121" t="s">
        <v>403</v>
      </c>
      <c r="B2" s="121"/>
      <c r="C2" s="121"/>
      <c r="D2" s="121"/>
      <c r="E2" s="121"/>
      <c r="F2" s="121"/>
      <c r="G2" s="121"/>
      <c r="H2" s="121"/>
      <c r="I2" s="121"/>
      <c r="J2" s="121"/>
      <c r="K2" s="121"/>
      <c r="L2" s="121"/>
      <c r="M2" s="121"/>
      <c r="N2" s="121"/>
      <c r="O2" s="121"/>
      <c r="P2" s="121"/>
      <c r="Q2" s="121"/>
      <c r="R2" s="121"/>
    </row>
    <row r="3" spans="1:21" ht="18.75">
      <c r="A3" s="98" t="str">
        <f>'BIEU 96'!A3:E3</f>
        <v>(Đính kèm Quyết định số:         /QĐ-UBND ngày      /7/2024 của UBND huyện Phụng Hiệp)</v>
      </c>
      <c r="B3" s="98"/>
      <c r="C3" s="98"/>
      <c r="D3" s="98"/>
      <c r="E3" s="98"/>
      <c r="F3" s="98"/>
      <c r="G3" s="98"/>
      <c r="H3" s="98"/>
      <c r="I3" s="98"/>
      <c r="J3" s="98"/>
      <c r="K3" s="98"/>
      <c r="L3" s="98"/>
      <c r="M3" s="98"/>
      <c r="N3" s="98"/>
      <c r="O3" s="98"/>
      <c r="P3" s="98"/>
      <c r="Q3" s="98"/>
      <c r="R3" s="98"/>
      <c r="S3" s="8"/>
      <c r="T3" s="8"/>
      <c r="U3" s="32"/>
    </row>
    <row r="4" spans="1:21" ht="18.75">
      <c r="A4" s="33"/>
      <c r="B4" s="34"/>
      <c r="C4" s="35"/>
      <c r="D4" s="35"/>
      <c r="E4" s="35"/>
      <c r="F4" s="35"/>
      <c r="G4" s="35"/>
      <c r="H4" s="35"/>
      <c r="I4" s="35"/>
      <c r="J4" s="35"/>
      <c r="K4" s="35"/>
      <c r="L4" s="35"/>
      <c r="M4" s="36"/>
      <c r="N4" s="122"/>
      <c r="O4" s="122"/>
      <c r="P4" s="123" t="s">
        <v>26</v>
      </c>
      <c r="Q4" s="123"/>
      <c r="R4" s="123"/>
    </row>
    <row r="5" spans="1:21" ht="15.6" customHeight="1">
      <c r="A5" s="119" t="s">
        <v>0</v>
      </c>
      <c r="B5" s="118" t="s">
        <v>239</v>
      </c>
      <c r="C5" s="116" t="s">
        <v>1</v>
      </c>
      <c r="D5" s="116"/>
      <c r="E5" s="116"/>
      <c r="F5" s="120" t="s">
        <v>2</v>
      </c>
      <c r="G5" s="120"/>
      <c r="H5" s="120"/>
      <c r="I5" s="120"/>
      <c r="J5" s="120"/>
      <c r="K5" s="120"/>
      <c r="L5" s="120"/>
      <c r="M5" s="120"/>
      <c r="N5" s="120"/>
      <c r="O5" s="120"/>
      <c r="P5" s="118" t="s">
        <v>3</v>
      </c>
      <c r="Q5" s="118"/>
      <c r="R5" s="118"/>
    </row>
    <row r="6" spans="1:21" ht="15.6" customHeight="1">
      <c r="A6" s="119"/>
      <c r="B6" s="118"/>
      <c r="C6" s="119" t="s">
        <v>126</v>
      </c>
      <c r="D6" s="119" t="s">
        <v>240</v>
      </c>
      <c r="E6" s="119"/>
      <c r="F6" s="119" t="s">
        <v>126</v>
      </c>
      <c r="G6" s="119" t="s">
        <v>240</v>
      </c>
      <c r="H6" s="119"/>
      <c r="I6" s="117" t="s">
        <v>241</v>
      </c>
      <c r="J6" s="117"/>
      <c r="K6" s="117"/>
      <c r="L6" s="117"/>
      <c r="M6" s="117"/>
      <c r="N6" s="117"/>
      <c r="O6" s="117"/>
      <c r="P6" s="118" t="s">
        <v>126</v>
      </c>
      <c r="Q6" s="118" t="s">
        <v>240</v>
      </c>
      <c r="R6" s="118"/>
    </row>
    <row r="7" spans="1:21" ht="15.6" customHeight="1">
      <c r="A7" s="119"/>
      <c r="B7" s="118"/>
      <c r="C7" s="119"/>
      <c r="D7" s="119" t="s">
        <v>242</v>
      </c>
      <c r="E7" s="119" t="s">
        <v>243</v>
      </c>
      <c r="F7" s="119"/>
      <c r="G7" s="119" t="s">
        <v>242</v>
      </c>
      <c r="H7" s="119" t="s">
        <v>243</v>
      </c>
      <c r="I7" s="119" t="s">
        <v>126</v>
      </c>
      <c r="J7" s="116" t="s">
        <v>19</v>
      </c>
      <c r="K7" s="116"/>
      <c r="L7" s="116"/>
      <c r="M7" s="117" t="s">
        <v>243</v>
      </c>
      <c r="N7" s="117"/>
      <c r="O7" s="117"/>
      <c r="P7" s="118"/>
      <c r="Q7" s="118" t="s">
        <v>19</v>
      </c>
      <c r="R7" s="118" t="s">
        <v>18</v>
      </c>
    </row>
    <row r="8" spans="1:21" ht="15.6" customHeight="1">
      <c r="A8" s="119"/>
      <c r="B8" s="118"/>
      <c r="C8" s="119"/>
      <c r="D8" s="119"/>
      <c r="E8" s="119"/>
      <c r="F8" s="119"/>
      <c r="G8" s="119"/>
      <c r="H8" s="119"/>
      <c r="I8" s="119"/>
      <c r="J8" s="119" t="s">
        <v>126</v>
      </c>
      <c r="K8" s="119" t="s">
        <v>404</v>
      </c>
      <c r="L8" s="119"/>
      <c r="M8" s="119" t="s">
        <v>126</v>
      </c>
      <c r="N8" s="118" t="s">
        <v>404</v>
      </c>
      <c r="O8" s="118"/>
      <c r="P8" s="118"/>
      <c r="Q8" s="118"/>
      <c r="R8" s="118"/>
    </row>
    <row r="9" spans="1:21">
      <c r="A9" s="119"/>
      <c r="B9" s="118"/>
      <c r="C9" s="119"/>
      <c r="D9" s="119"/>
      <c r="E9" s="119"/>
      <c r="F9" s="119"/>
      <c r="G9" s="119"/>
      <c r="H9" s="119"/>
      <c r="I9" s="119"/>
      <c r="J9" s="119"/>
      <c r="K9" s="119" t="s">
        <v>244</v>
      </c>
      <c r="L9" s="119" t="s">
        <v>245</v>
      </c>
      <c r="M9" s="119"/>
      <c r="N9" s="119" t="s">
        <v>244</v>
      </c>
      <c r="O9" s="118" t="s">
        <v>245</v>
      </c>
      <c r="P9" s="118"/>
      <c r="Q9" s="118"/>
      <c r="R9" s="118"/>
    </row>
    <row r="10" spans="1:21">
      <c r="A10" s="119"/>
      <c r="B10" s="118"/>
      <c r="C10" s="119"/>
      <c r="D10" s="119"/>
      <c r="E10" s="119"/>
      <c r="F10" s="119"/>
      <c r="G10" s="119"/>
      <c r="H10" s="119"/>
      <c r="I10" s="119"/>
      <c r="J10" s="119"/>
      <c r="K10" s="119"/>
      <c r="L10" s="119"/>
      <c r="M10" s="119"/>
      <c r="N10" s="119"/>
      <c r="O10" s="118"/>
      <c r="P10" s="118"/>
      <c r="Q10" s="118"/>
      <c r="R10" s="118"/>
    </row>
    <row r="11" spans="1:21" s="37" customFormat="1">
      <c r="A11" s="119"/>
      <c r="B11" s="118"/>
      <c r="C11" s="119"/>
      <c r="D11" s="119"/>
      <c r="E11" s="119"/>
      <c r="F11" s="119"/>
      <c r="G11" s="119"/>
      <c r="H11" s="119"/>
      <c r="I11" s="119"/>
      <c r="J11" s="119"/>
      <c r="K11" s="119"/>
      <c r="L11" s="119"/>
      <c r="M11" s="119"/>
      <c r="N11" s="119"/>
      <c r="O11" s="118"/>
      <c r="P11" s="118"/>
      <c r="Q11" s="118"/>
      <c r="R11" s="118"/>
    </row>
    <row r="12" spans="1:21" s="218" customFormat="1">
      <c r="A12" s="215" t="s">
        <v>5</v>
      </c>
      <c r="B12" s="216" t="s">
        <v>6</v>
      </c>
      <c r="C12" s="215">
        <v>1</v>
      </c>
      <c r="D12" s="215">
        <f t="shared" ref="D12:N12" si="0">C12+1</f>
        <v>2</v>
      </c>
      <c r="E12" s="215">
        <f t="shared" si="0"/>
        <v>3</v>
      </c>
      <c r="F12" s="215">
        <f t="shared" si="0"/>
        <v>4</v>
      </c>
      <c r="G12" s="215">
        <f t="shared" si="0"/>
        <v>5</v>
      </c>
      <c r="H12" s="215">
        <f t="shared" si="0"/>
        <v>6</v>
      </c>
      <c r="I12" s="215">
        <f t="shared" si="0"/>
        <v>7</v>
      </c>
      <c r="J12" s="215">
        <f t="shared" si="0"/>
        <v>8</v>
      </c>
      <c r="K12" s="215">
        <f t="shared" si="0"/>
        <v>9</v>
      </c>
      <c r="L12" s="215">
        <f t="shared" si="0"/>
        <v>10</v>
      </c>
      <c r="M12" s="215">
        <f t="shared" si="0"/>
        <v>11</v>
      </c>
      <c r="N12" s="215">
        <f t="shared" si="0"/>
        <v>12</v>
      </c>
      <c r="O12" s="216">
        <f>N12+1</f>
        <v>13</v>
      </c>
      <c r="P12" s="217" t="s">
        <v>246</v>
      </c>
      <c r="Q12" s="217" t="s">
        <v>247</v>
      </c>
      <c r="R12" s="217" t="s">
        <v>248</v>
      </c>
    </row>
    <row r="13" spans="1:21" s="38" customFormat="1">
      <c r="A13" s="91"/>
      <c r="B13" s="201" t="s">
        <v>129</v>
      </c>
      <c r="C13" s="219">
        <f t="shared" ref="C13:O13" si="1">C14+C67</f>
        <v>50917.343994000003</v>
      </c>
      <c r="D13" s="219">
        <f t="shared" si="1"/>
        <v>23155.523994000003</v>
      </c>
      <c r="E13" s="219">
        <f t="shared" si="1"/>
        <v>27711.82</v>
      </c>
      <c r="F13" s="219">
        <f t="shared" si="1"/>
        <v>44916.387933999998</v>
      </c>
      <c r="G13" s="219">
        <f t="shared" si="1"/>
        <v>23105.648143999995</v>
      </c>
      <c r="H13" s="219">
        <f t="shared" si="1"/>
        <v>21810.73979</v>
      </c>
      <c r="I13" s="219">
        <f t="shared" si="1"/>
        <v>44916.387933999998</v>
      </c>
      <c r="J13" s="219">
        <f t="shared" si="1"/>
        <v>23105.648143999995</v>
      </c>
      <c r="K13" s="219">
        <f t="shared" si="1"/>
        <v>23105.648143999995</v>
      </c>
      <c r="L13" s="219">
        <f t="shared" si="1"/>
        <v>0</v>
      </c>
      <c r="M13" s="219">
        <f t="shared" si="1"/>
        <v>21810.73979</v>
      </c>
      <c r="N13" s="219">
        <f t="shared" si="1"/>
        <v>21810.73979</v>
      </c>
      <c r="O13" s="201">
        <f t="shared" si="1"/>
        <v>0</v>
      </c>
      <c r="P13" s="201">
        <f>F13/C13*100</f>
        <v>88.214318365256545</v>
      </c>
      <c r="Q13" s="201">
        <f>G13/D13*100</f>
        <v>99.784604960730178</v>
      </c>
      <c r="R13" s="201">
        <f>H13/E13*100</f>
        <v>78.705547993599851</v>
      </c>
    </row>
    <row r="14" spans="1:21" s="38" customFormat="1">
      <c r="A14" s="91" t="s">
        <v>16</v>
      </c>
      <c r="B14" s="201" t="s">
        <v>130</v>
      </c>
      <c r="C14" s="219">
        <f t="shared" ref="C14:O14" si="2">C15+C54</f>
        <v>37771.343994000003</v>
      </c>
      <c r="D14" s="219">
        <f t="shared" si="2"/>
        <v>23155.523994000003</v>
      </c>
      <c r="E14" s="219">
        <f t="shared" si="2"/>
        <v>14565.82</v>
      </c>
      <c r="F14" s="219">
        <f t="shared" si="2"/>
        <v>31932.850533999997</v>
      </c>
      <c r="G14" s="219">
        <f t="shared" si="2"/>
        <v>23105.648143999995</v>
      </c>
      <c r="H14" s="219">
        <f t="shared" si="2"/>
        <v>8827.2023899999986</v>
      </c>
      <c r="I14" s="219">
        <f t="shared" si="2"/>
        <v>31932.850533999997</v>
      </c>
      <c r="J14" s="219">
        <f t="shared" si="2"/>
        <v>23105.648143999995</v>
      </c>
      <c r="K14" s="219">
        <f t="shared" si="2"/>
        <v>23105.648143999995</v>
      </c>
      <c r="L14" s="219">
        <f t="shared" si="2"/>
        <v>0</v>
      </c>
      <c r="M14" s="219">
        <f t="shared" si="2"/>
        <v>8827.2023899999986</v>
      </c>
      <c r="N14" s="219">
        <f t="shared" si="2"/>
        <v>8827.2023899999986</v>
      </c>
      <c r="O14" s="201">
        <f t="shared" si="2"/>
        <v>0</v>
      </c>
      <c r="P14" s="201">
        <f t="shared" ref="P14:R57" si="3">F14/C14*100</f>
        <v>84.542531870384451</v>
      </c>
      <c r="Q14" s="201">
        <f t="shared" si="3"/>
        <v>99.784604960730178</v>
      </c>
      <c r="R14" s="201">
        <f t="shared" si="3"/>
        <v>60.602165823825906</v>
      </c>
    </row>
    <row r="15" spans="1:21" s="38" customFormat="1">
      <c r="A15" s="220" t="s">
        <v>7</v>
      </c>
      <c r="B15" s="201" t="s">
        <v>249</v>
      </c>
      <c r="C15" s="219">
        <f>C16+C25+C20+C36+C29+C31+C34</f>
        <v>32076.343994000003</v>
      </c>
      <c r="D15" s="219">
        <f t="shared" ref="D15:O15" si="4">D16+D25+D20+D36+D29+D31+D34</f>
        <v>23155.523994000003</v>
      </c>
      <c r="E15" s="219">
        <f t="shared" si="4"/>
        <v>8920.82</v>
      </c>
      <c r="F15" s="219">
        <f>F16+F25+F20+F36+F29+F31+F34</f>
        <v>29280.385843999997</v>
      </c>
      <c r="G15" s="219">
        <f t="shared" si="4"/>
        <v>23105.648143999995</v>
      </c>
      <c r="H15" s="219">
        <f t="shared" si="4"/>
        <v>6174.7376999999997</v>
      </c>
      <c r="I15" s="219">
        <f t="shared" si="4"/>
        <v>29280.385843999997</v>
      </c>
      <c r="J15" s="219">
        <f t="shared" si="4"/>
        <v>23105.648143999995</v>
      </c>
      <c r="K15" s="219">
        <f t="shared" si="4"/>
        <v>23105.648143999995</v>
      </c>
      <c r="L15" s="219">
        <f t="shared" si="4"/>
        <v>0</v>
      </c>
      <c r="M15" s="219">
        <f t="shared" si="4"/>
        <v>6174.7376999999997</v>
      </c>
      <c r="N15" s="219">
        <f t="shared" si="4"/>
        <v>6174.7376999999997</v>
      </c>
      <c r="O15" s="201">
        <f t="shared" si="4"/>
        <v>0</v>
      </c>
      <c r="P15" s="201">
        <f t="shared" si="3"/>
        <v>91.283426345212533</v>
      </c>
      <c r="Q15" s="201">
        <f t="shared" si="3"/>
        <v>99.784604960730178</v>
      </c>
      <c r="R15" s="201">
        <f t="shared" si="3"/>
        <v>69.217153804246692</v>
      </c>
    </row>
    <row r="16" spans="1:21">
      <c r="A16" s="91" t="s">
        <v>104</v>
      </c>
      <c r="B16" s="201" t="s">
        <v>250</v>
      </c>
      <c r="C16" s="219">
        <f>SUM(C17:C19)</f>
        <v>872.36</v>
      </c>
      <c r="D16" s="219">
        <f t="shared" ref="D16:O16" si="5">SUM(D17:D19)</f>
        <v>0</v>
      </c>
      <c r="E16" s="219">
        <f t="shared" si="5"/>
        <v>872.36</v>
      </c>
      <c r="F16" s="219">
        <f t="shared" si="5"/>
        <v>472.48</v>
      </c>
      <c r="G16" s="219">
        <f t="shared" si="5"/>
        <v>0</v>
      </c>
      <c r="H16" s="219">
        <f t="shared" si="5"/>
        <v>472.48</v>
      </c>
      <c r="I16" s="219">
        <f t="shared" si="5"/>
        <v>472.48</v>
      </c>
      <c r="J16" s="219">
        <f t="shared" si="5"/>
        <v>0</v>
      </c>
      <c r="K16" s="219">
        <f t="shared" si="5"/>
        <v>0</v>
      </c>
      <c r="L16" s="219">
        <f t="shared" si="5"/>
        <v>0</v>
      </c>
      <c r="M16" s="219">
        <f t="shared" si="5"/>
        <v>472.48</v>
      </c>
      <c r="N16" s="219">
        <f t="shared" si="5"/>
        <v>472.48</v>
      </c>
      <c r="O16" s="201">
        <f t="shared" si="5"/>
        <v>0</v>
      </c>
      <c r="P16" s="201">
        <f t="shared" si="3"/>
        <v>54.161126140584159</v>
      </c>
      <c r="Q16" s="201"/>
      <c r="R16" s="201">
        <f t="shared" si="3"/>
        <v>54.161126140584159</v>
      </c>
    </row>
    <row r="17" spans="1:18" ht="31.5">
      <c r="A17" s="85"/>
      <c r="B17" s="221" t="s">
        <v>405</v>
      </c>
      <c r="C17" s="205">
        <f>D17+E17</f>
        <v>847.36</v>
      </c>
      <c r="D17" s="205"/>
      <c r="E17" s="205">
        <f>277.36+570</f>
        <v>847.36</v>
      </c>
      <c r="F17" s="205">
        <f>G17+H17</f>
        <v>472.48</v>
      </c>
      <c r="G17" s="205">
        <f>J17</f>
        <v>0</v>
      </c>
      <c r="H17" s="205">
        <f>M17</f>
        <v>472.48</v>
      </c>
      <c r="I17" s="205">
        <f>J17+M17</f>
        <v>472.48</v>
      </c>
      <c r="J17" s="205">
        <f>K17+L17</f>
        <v>0</v>
      </c>
      <c r="K17" s="205"/>
      <c r="L17" s="205"/>
      <c r="M17" s="205">
        <f>N17+O17</f>
        <v>472.48</v>
      </c>
      <c r="N17" s="205">
        <v>472.48</v>
      </c>
      <c r="O17" s="206"/>
      <c r="P17" s="206">
        <f>F17/C17*100</f>
        <v>55.759063444108762</v>
      </c>
      <c r="Q17" s="201"/>
      <c r="R17" s="206">
        <f>H17/E17*100</f>
        <v>55.759063444108762</v>
      </c>
    </row>
    <row r="18" spans="1:18" s="38" customFormat="1" ht="47.25">
      <c r="A18" s="85"/>
      <c r="B18" s="221" t="s">
        <v>406</v>
      </c>
      <c r="C18" s="205">
        <f>D18+E18</f>
        <v>5</v>
      </c>
      <c r="D18" s="205"/>
      <c r="E18" s="205">
        <v>5</v>
      </c>
      <c r="F18" s="205">
        <f>G18+H18</f>
        <v>0</v>
      </c>
      <c r="G18" s="205"/>
      <c r="H18" s="205"/>
      <c r="I18" s="205"/>
      <c r="J18" s="205"/>
      <c r="K18" s="205"/>
      <c r="L18" s="205"/>
      <c r="M18" s="205"/>
      <c r="N18" s="205"/>
      <c r="O18" s="206"/>
      <c r="P18" s="206">
        <f>F18/C18*100</f>
        <v>0</v>
      </c>
      <c r="Q18" s="201"/>
      <c r="R18" s="206">
        <f t="shared" si="3"/>
        <v>0</v>
      </c>
    </row>
    <row r="19" spans="1:18" ht="94.5">
      <c r="A19" s="85"/>
      <c r="B19" s="221" t="s">
        <v>407</v>
      </c>
      <c r="C19" s="205">
        <f>D19+E19</f>
        <v>20</v>
      </c>
      <c r="D19" s="205"/>
      <c r="E19" s="205">
        <v>20</v>
      </c>
      <c r="F19" s="205"/>
      <c r="G19" s="205"/>
      <c r="H19" s="205"/>
      <c r="I19" s="205"/>
      <c r="J19" s="205"/>
      <c r="K19" s="205"/>
      <c r="L19" s="205"/>
      <c r="M19" s="205"/>
      <c r="N19" s="205"/>
      <c r="O19" s="206"/>
      <c r="P19" s="206"/>
      <c r="Q19" s="201"/>
      <c r="R19" s="206"/>
    </row>
    <row r="20" spans="1:18">
      <c r="A20" s="91" t="s">
        <v>105</v>
      </c>
      <c r="B20" s="222" t="s">
        <v>265</v>
      </c>
      <c r="C20" s="219">
        <f t="shared" ref="C20:O20" si="6">SUM(C21:C24)</f>
        <v>1198.46</v>
      </c>
      <c r="D20" s="219">
        <f t="shared" si="6"/>
        <v>0</v>
      </c>
      <c r="E20" s="219">
        <f t="shared" si="6"/>
        <v>1198.46</v>
      </c>
      <c r="F20" s="219">
        <f t="shared" si="6"/>
        <v>449.66899999999998</v>
      </c>
      <c r="G20" s="219">
        <f t="shared" si="6"/>
        <v>0</v>
      </c>
      <c r="H20" s="219">
        <f t="shared" si="6"/>
        <v>449.66899999999998</v>
      </c>
      <c r="I20" s="219">
        <f t="shared" si="6"/>
        <v>449.66899999999998</v>
      </c>
      <c r="J20" s="219">
        <f t="shared" si="6"/>
        <v>0</v>
      </c>
      <c r="K20" s="219">
        <f t="shared" si="6"/>
        <v>0</v>
      </c>
      <c r="L20" s="219">
        <f t="shared" si="6"/>
        <v>0</v>
      </c>
      <c r="M20" s="219">
        <f t="shared" si="6"/>
        <v>449.66899999999998</v>
      </c>
      <c r="N20" s="219">
        <f t="shared" si="6"/>
        <v>449.66899999999998</v>
      </c>
      <c r="O20" s="201">
        <f t="shared" si="6"/>
        <v>0</v>
      </c>
      <c r="P20" s="201">
        <f t="shared" si="3"/>
        <v>37.520568062346676</v>
      </c>
      <c r="Q20" s="201"/>
      <c r="R20" s="201">
        <f t="shared" si="3"/>
        <v>37.520568062346676</v>
      </c>
    </row>
    <row r="21" spans="1:18" ht="31.5">
      <c r="A21" s="85"/>
      <c r="B21" s="221" t="s">
        <v>408</v>
      </c>
      <c r="C21" s="205">
        <f t="shared" ref="C21:C24" si="7">D21+E21</f>
        <v>569.47500000000002</v>
      </c>
      <c r="D21" s="205"/>
      <c r="E21" s="205">
        <f>269.475+300</f>
        <v>569.47500000000002</v>
      </c>
      <c r="F21" s="205">
        <f>G21+H21</f>
        <v>125.864</v>
      </c>
      <c r="G21" s="205">
        <f>J21</f>
        <v>0</v>
      </c>
      <c r="H21" s="205">
        <f t="shared" ref="H21:H28" si="8">M21</f>
        <v>125.864</v>
      </c>
      <c r="I21" s="205">
        <f t="shared" ref="I21:I24" si="9">J21+M21</f>
        <v>125.864</v>
      </c>
      <c r="J21" s="205">
        <f t="shared" ref="J21:J24" si="10">K21+L21</f>
        <v>0</v>
      </c>
      <c r="K21" s="205"/>
      <c r="L21" s="205"/>
      <c r="M21" s="205">
        <f t="shared" ref="M21:M24" si="11">N21+O21</f>
        <v>125.864</v>
      </c>
      <c r="N21" s="205">
        <v>125.864</v>
      </c>
      <c r="O21" s="206"/>
      <c r="P21" s="206">
        <f t="shared" si="3"/>
        <v>22.101760393344748</v>
      </c>
      <c r="Q21" s="201"/>
      <c r="R21" s="201">
        <f t="shared" si="3"/>
        <v>22.101760393344748</v>
      </c>
    </row>
    <row r="22" spans="1:18">
      <c r="A22" s="85"/>
      <c r="B22" s="221" t="s">
        <v>355</v>
      </c>
      <c r="C22" s="205">
        <f t="shared" si="7"/>
        <v>593.98500000000001</v>
      </c>
      <c r="D22" s="205"/>
      <c r="E22" s="205">
        <f>93.985+500</f>
        <v>593.98500000000001</v>
      </c>
      <c r="F22" s="205">
        <f t="shared" ref="F22:F24" si="12">G22+H22</f>
        <v>323.80500000000001</v>
      </c>
      <c r="G22" s="205">
        <f t="shared" ref="G22:G24" si="13">J22</f>
        <v>0</v>
      </c>
      <c r="H22" s="205">
        <f t="shared" si="8"/>
        <v>323.80500000000001</v>
      </c>
      <c r="I22" s="205">
        <f t="shared" si="9"/>
        <v>323.80500000000001</v>
      </c>
      <c r="J22" s="205">
        <f t="shared" si="10"/>
        <v>0</v>
      </c>
      <c r="K22" s="205"/>
      <c r="L22" s="205"/>
      <c r="M22" s="205">
        <f t="shared" si="11"/>
        <v>323.80500000000001</v>
      </c>
      <c r="N22" s="205">
        <v>323.80500000000001</v>
      </c>
      <c r="O22" s="206"/>
      <c r="P22" s="206">
        <f t="shared" si="3"/>
        <v>54.51400287886058</v>
      </c>
      <c r="Q22" s="201"/>
      <c r="R22" s="206">
        <f t="shared" si="3"/>
        <v>54.51400287886058</v>
      </c>
    </row>
    <row r="23" spans="1:18" ht="31.5">
      <c r="A23" s="85"/>
      <c r="B23" s="221" t="s">
        <v>409</v>
      </c>
      <c r="C23" s="205">
        <f t="shared" si="7"/>
        <v>5</v>
      </c>
      <c r="D23" s="205"/>
      <c r="E23" s="205">
        <v>5</v>
      </c>
      <c r="F23" s="205">
        <f t="shared" si="12"/>
        <v>0</v>
      </c>
      <c r="G23" s="205">
        <f t="shared" si="13"/>
        <v>0</v>
      </c>
      <c r="H23" s="205">
        <f t="shared" si="8"/>
        <v>0</v>
      </c>
      <c r="I23" s="205">
        <f t="shared" si="9"/>
        <v>0</v>
      </c>
      <c r="J23" s="205">
        <f t="shared" si="10"/>
        <v>0</v>
      </c>
      <c r="K23" s="205"/>
      <c r="L23" s="205"/>
      <c r="M23" s="205">
        <f t="shared" si="11"/>
        <v>0</v>
      </c>
      <c r="N23" s="205"/>
      <c r="O23" s="206"/>
      <c r="P23" s="206">
        <f t="shared" si="3"/>
        <v>0</v>
      </c>
      <c r="Q23" s="201"/>
      <c r="R23" s="206">
        <f t="shared" si="3"/>
        <v>0</v>
      </c>
    </row>
    <row r="24" spans="1:18" ht="94.5">
      <c r="A24" s="85"/>
      <c r="B24" s="221" t="s">
        <v>407</v>
      </c>
      <c r="C24" s="205">
        <f t="shared" si="7"/>
        <v>30</v>
      </c>
      <c r="D24" s="205"/>
      <c r="E24" s="205">
        <v>30</v>
      </c>
      <c r="F24" s="205">
        <f t="shared" si="12"/>
        <v>0</v>
      </c>
      <c r="G24" s="205">
        <f t="shared" si="13"/>
        <v>0</v>
      </c>
      <c r="H24" s="205">
        <f t="shared" si="8"/>
        <v>0</v>
      </c>
      <c r="I24" s="205">
        <f t="shared" si="9"/>
        <v>0</v>
      </c>
      <c r="J24" s="205">
        <f t="shared" si="10"/>
        <v>0</v>
      </c>
      <c r="K24" s="205"/>
      <c r="L24" s="205"/>
      <c r="M24" s="205">
        <f t="shared" si="11"/>
        <v>0</v>
      </c>
      <c r="N24" s="205"/>
      <c r="O24" s="206"/>
      <c r="P24" s="206">
        <f t="shared" si="3"/>
        <v>0</v>
      </c>
      <c r="Q24" s="201"/>
      <c r="R24" s="201">
        <f t="shared" si="3"/>
        <v>0</v>
      </c>
    </row>
    <row r="25" spans="1:18">
      <c r="A25" s="91" t="s">
        <v>106</v>
      </c>
      <c r="B25" s="223" t="s">
        <v>376</v>
      </c>
      <c r="C25" s="219">
        <f>SUM(C26:C28)</f>
        <v>1800</v>
      </c>
      <c r="D25" s="219">
        <f t="shared" ref="D25:O25" si="14">SUM(D26:D28)</f>
        <v>0</v>
      </c>
      <c r="E25" s="219">
        <f t="shared" si="14"/>
        <v>1800</v>
      </c>
      <c r="F25" s="219">
        <f t="shared" si="14"/>
        <v>1649.0355</v>
      </c>
      <c r="G25" s="219">
        <f t="shared" si="14"/>
        <v>0</v>
      </c>
      <c r="H25" s="219">
        <f t="shared" si="14"/>
        <v>1649.0355</v>
      </c>
      <c r="I25" s="219">
        <f t="shared" si="14"/>
        <v>1649.0355</v>
      </c>
      <c r="J25" s="219">
        <f t="shared" si="14"/>
        <v>0</v>
      </c>
      <c r="K25" s="219">
        <f t="shared" si="14"/>
        <v>0</v>
      </c>
      <c r="L25" s="219">
        <f t="shared" si="14"/>
        <v>0</v>
      </c>
      <c r="M25" s="219">
        <f t="shared" si="14"/>
        <v>1649.0355</v>
      </c>
      <c r="N25" s="219">
        <f t="shared" si="14"/>
        <v>1649.0355</v>
      </c>
      <c r="O25" s="201">
        <f t="shared" si="14"/>
        <v>0</v>
      </c>
      <c r="P25" s="201">
        <f t="shared" si="3"/>
        <v>91.613083333333336</v>
      </c>
      <c r="Q25" s="201"/>
      <c r="R25" s="201">
        <f t="shared" si="3"/>
        <v>91.613083333333336</v>
      </c>
    </row>
    <row r="26" spans="1:18" ht="31.5">
      <c r="A26" s="91"/>
      <c r="B26" s="73" t="s">
        <v>410</v>
      </c>
      <c r="C26" s="205">
        <f t="shared" ref="C26:C53" si="15">D26+E26</f>
        <v>500</v>
      </c>
      <c r="D26" s="205"/>
      <c r="E26" s="205">
        <v>500</v>
      </c>
      <c r="F26" s="205">
        <f t="shared" ref="F26:F28" si="16">G26+H26</f>
        <v>422.00650000000002</v>
      </c>
      <c r="G26" s="205">
        <f t="shared" ref="G26:G27" si="17">J26</f>
        <v>0</v>
      </c>
      <c r="H26" s="205">
        <f t="shared" si="8"/>
        <v>422.00650000000002</v>
      </c>
      <c r="I26" s="205">
        <f t="shared" ref="I26:I53" si="18">J26+M26</f>
        <v>422.00650000000002</v>
      </c>
      <c r="J26" s="205">
        <f>K26+L26</f>
        <v>0</v>
      </c>
      <c r="K26" s="205"/>
      <c r="L26" s="219"/>
      <c r="M26" s="205">
        <f t="shared" ref="M26:M50" si="19">N26+O26</f>
        <v>422.00650000000002</v>
      </c>
      <c r="N26" s="205">
        <v>422.00650000000002</v>
      </c>
      <c r="O26" s="206"/>
      <c r="P26" s="206">
        <f t="shared" si="3"/>
        <v>84.401300000000006</v>
      </c>
      <c r="Q26" s="201"/>
      <c r="R26" s="206">
        <f t="shared" si="3"/>
        <v>84.401300000000006</v>
      </c>
    </row>
    <row r="27" spans="1:18" ht="47.25">
      <c r="A27" s="91"/>
      <c r="B27" s="73" t="s">
        <v>411</v>
      </c>
      <c r="C27" s="205">
        <f t="shared" si="15"/>
        <v>800</v>
      </c>
      <c r="D27" s="205"/>
      <c r="E27" s="205">
        <v>800</v>
      </c>
      <c r="F27" s="205">
        <f t="shared" si="16"/>
        <v>742.30899999999997</v>
      </c>
      <c r="G27" s="205">
        <f t="shared" si="17"/>
        <v>0</v>
      </c>
      <c r="H27" s="205">
        <f t="shared" si="8"/>
        <v>742.30899999999997</v>
      </c>
      <c r="I27" s="205">
        <f t="shared" si="18"/>
        <v>742.30899999999997</v>
      </c>
      <c r="J27" s="205">
        <f>K27+L27</f>
        <v>0</v>
      </c>
      <c r="K27" s="205"/>
      <c r="L27" s="219"/>
      <c r="M27" s="205">
        <f t="shared" si="19"/>
        <v>742.30899999999997</v>
      </c>
      <c r="N27" s="205">
        <v>742.30899999999997</v>
      </c>
      <c r="O27" s="206"/>
      <c r="P27" s="206">
        <f t="shared" si="3"/>
        <v>92.788624999999996</v>
      </c>
      <c r="Q27" s="201"/>
      <c r="R27" s="206"/>
    </row>
    <row r="28" spans="1:18" ht="31.5">
      <c r="A28" s="91"/>
      <c r="B28" s="73" t="s">
        <v>412</v>
      </c>
      <c r="C28" s="205">
        <f t="shared" si="15"/>
        <v>500</v>
      </c>
      <c r="D28" s="205"/>
      <c r="E28" s="205">
        <v>500</v>
      </c>
      <c r="F28" s="205">
        <f t="shared" si="16"/>
        <v>484.72</v>
      </c>
      <c r="G28" s="205"/>
      <c r="H28" s="205">
        <f t="shared" si="8"/>
        <v>484.72</v>
      </c>
      <c r="I28" s="205">
        <f t="shared" si="18"/>
        <v>484.72</v>
      </c>
      <c r="J28" s="205"/>
      <c r="K28" s="205"/>
      <c r="L28" s="219"/>
      <c r="M28" s="205">
        <f t="shared" si="19"/>
        <v>484.72</v>
      </c>
      <c r="N28" s="205">
        <v>484.72</v>
      </c>
      <c r="O28" s="206"/>
      <c r="P28" s="206">
        <f t="shared" si="3"/>
        <v>96.944000000000003</v>
      </c>
      <c r="Q28" s="201"/>
      <c r="R28" s="206"/>
    </row>
    <row r="29" spans="1:18">
      <c r="A29" s="91" t="s">
        <v>107</v>
      </c>
      <c r="B29" s="223" t="s">
        <v>413</v>
      </c>
      <c r="C29" s="219">
        <f>SUM(C30:C30)</f>
        <v>600</v>
      </c>
      <c r="D29" s="219">
        <f t="shared" ref="D29:O29" si="20">SUM(D30:D30)</f>
        <v>0</v>
      </c>
      <c r="E29" s="219">
        <f t="shared" si="20"/>
        <v>600</v>
      </c>
      <c r="F29" s="219">
        <f t="shared" si="20"/>
        <v>357.40519999999998</v>
      </c>
      <c r="G29" s="219">
        <f t="shared" si="20"/>
        <v>0</v>
      </c>
      <c r="H29" s="219">
        <f t="shared" si="20"/>
        <v>357.40519999999998</v>
      </c>
      <c r="I29" s="219">
        <f t="shared" si="20"/>
        <v>357.40519999999998</v>
      </c>
      <c r="J29" s="219">
        <f t="shared" si="20"/>
        <v>0</v>
      </c>
      <c r="K29" s="219">
        <f t="shared" si="20"/>
        <v>0</v>
      </c>
      <c r="L29" s="219">
        <f t="shared" si="20"/>
        <v>0</v>
      </c>
      <c r="M29" s="219">
        <f t="shared" si="20"/>
        <v>357.40519999999998</v>
      </c>
      <c r="N29" s="219">
        <f t="shared" si="20"/>
        <v>357.40519999999998</v>
      </c>
      <c r="O29" s="201">
        <f t="shared" si="20"/>
        <v>0</v>
      </c>
      <c r="P29" s="206">
        <f t="shared" si="3"/>
        <v>59.56753333333333</v>
      </c>
      <c r="Q29" s="201"/>
      <c r="R29" s="201">
        <f t="shared" ref="R29:R32" si="21">H29/E29*100</f>
        <v>59.56753333333333</v>
      </c>
    </row>
    <row r="30" spans="1:18" ht="31.5">
      <c r="A30" s="91"/>
      <c r="B30" s="73" t="s">
        <v>414</v>
      </c>
      <c r="C30" s="205">
        <f t="shared" ref="C30" si="22">D30+E30</f>
        <v>600</v>
      </c>
      <c r="D30" s="205"/>
      <c r="E30" s="205">
        <v>600</v>
      </c>
      <c r="F30" s="205">
        <f t="shared" ref="F30" si="23">G30+H30</f>
        <v>357.40519999999998</v>
      </c>
      <c r="G30" s="205">
        <f t="shared" ref="G30" si="24">J30</f>
        <v>0</v>
      </c>
      <c r="H30" s="205">
        <f t="shared" ref="H30" si="25">M30</f>
        <v>357.40519999999998</v>
      </c>
      <c r="I30" s="205">
        <f t="shared" ref="I30" si="26">J30+M30</f>
        <v>357.40519999999998</v>
      </c>
      <c r="J30" s="205">
        <f>K30+L30</f>
        <v>0</v>
      </c>
      <c r="K30" s="205"/>
      <c r="L30" s="219"/>
      <c r="M30" s="205">
        <f t="shared" ref="M30" si="27">N30+O30</f>
        <v>357.40519999999998</v>
      </c>
      <c r="N30" s="205">
        <v>357.40519999999998</v>
      </c>
      <c r="O30" s="206"/>
      <c r="P30" s="206">
        <f t="shared" si="3"/>
        <v>59.56753333333333</v>
      </c>
      <c r="Q30" s="201"/>
      <c r="R30" s="206">
        <f t="shared" si="21"/>
        <v>59.56753333333333</v>
      </c>
    </row>
    <row r="31" spans="1:18">
      <c r="A31" s="91" t="s">
        <v>108</v>
      </c>
      <c r="B31" s="223" t="s">
        <v>415</v>
      </c>
      <c r="C31" s="219">
        <f>SUM(C32:C33)</f>
        <v>1200</v>
      </c>
      <c r="D31" s="219">
        <f t="shared" ref="D31:O31" si="28">SUM(D32:D33)</f>
        <v>0</v>
      </c>
      <c r="E31" s="219">
        <f t="shared" si="28"/>
        <v>1200</v>
      </c>
      <c r="F31" s="219">
        <f t="shared" si="28"/>
        <v>0</v>
      </c>
      <c r="G31" s="219">
        <f t="shared" si="28"/>
        <v>0</v>
      </c>
      <c r="H31" s="219">
        <f t="shared" si="28"/>
        <v>0</v>
      </c>
      <c r="I31" s="219">
        <f t="shared" si="28"/>
        <v>0</v>
      </c>
      <c r="J31" s="219">
        <f t="shared" si="28"/>
        <v>0</v>
      </c>
      <c r="K31" s="219">
        <f t="shared" si="28"/>
        <v>0</v>
      </c>
      <c r="L31" s="219">
        <f t="shared" si="28"/>
        <v>0</v>
      </c>
      <c r="M31" s="219">
        <f t="shared" si="28"/>
        <v>0</v>
      </c>
      <c r="N31" s="219">
        <f t="shared" si="28"/>
        <v>0</v>
      </c>
      <c r="O31" s="201">
        <f t="shared" si="28"/>
        <v>0</v>
      </c>
      <c r="P31" s="206">
        <f t="shared" si="3"/>
        <v>0</v>
      </c>
      <c r="Q31" s="201"/>
      <c r="R31" s="201">
        <f t="shared" si="21"/>
        <v>0</v>
      </c>
    </row>
    <row r="32" spans="1:18" ht="78.75">
      <c r="A32" s="91"/>
      <c r="B32" s="73" t="s">
        <v>416</v>
      </c>
      <c r="C32" s="205">
        <f t="shared" ref="C32:C33" si="29">D32+E32</f>
        <v>300</v>
      </c>
      <c r="D32" s="205"/>
      <c r="E32" s="205">
        <v>300</v>
      </c>
      <c r="F32" s="205">
        <f t="shared" ref="F32:F33" si="30">G32+H32</f>
        <v>0</v>
      </c>
      <c r="G32" s="205">
        <f t="shared" ref="G32:G33" si="31">J32</f>
        <v>0</v>
      </c>
      <c r="H32" s="205">
        <f t="shared" ref="H32:H33" si="32">M32</f>
        <v>0</v>
      </c>
      <c r="I32" s="205">
        <f t="shared" ref="I32:I33" si="33">J32+M32</f>
        <v>0</v>
      </c>
      <c r="J32" s="205">
        <f>K32+L32</f>
        <v>0</v>
      </c>
      <c r="K32" s="205"/>
      <c r="L32" s="219"/>
      <c r="M32" s="205">
        <f t="shared" ref="M32:M33" si="34">N32+O32</f>
        <v>0</v>
      </c>
      <c r="N32" s="205">
        <v>0</v>
      </c>
      <c r="O32" s="206"/>
      <c r="P32" s="206">
        <f t="shared" si="3"/>
        <v>0</v>
      </c>
      <c r="Q32" s="201"/>
      <c r="R32" s="206">
        <f t="shared" si="21"/>
        <v>0</v>
      </c>
    </row>
    <row r="33" spans="1:18" ht="63">
      <c r="A33" s="91"/>
      <c r="B33" s="73" t="s">
        <v>417</v>
      </c>
      <c r="C33" s="205">
        <f t="shared" si="29"/>
        <v>900</v>
      </c>
      <c r="D33" s="205"/>
      <c r="E33" s="205">
        <v>900</v>
      </c>
      <c r="F33" s="205">
        <f t="shared" si="30"/>
        <v>0</v>
      </c>
      <c r="G33" s="205">
        <f t="shared" si="31"/>
        <v>0</v>
      </c>
      <c r="H33" s="205">
        <f t="shared" si="32"/>
        <v>0</v>
      </c>
      <c r="I33" s="205">
        <f t="shared" si="33"/>
        <v>0</v>
      </c>
      <c r="J33" s="205">
        <f>K33+L33</f>
        <v>0</v>
      </c>
      <c r="K33" s="205"/>
      <c r="L33" s="219"/>
      <c r="M33" s="205">
        <f t="shared" si="34"/>
        <v>0</v>
      </c>
      <c r="N33" s="205"/>
      <c r="O33" s="206"/>
      <c r="P33" s="206"/>
      <c r="Q33" s="201"/>
      <c r="R33" s="206"/>
    </row>
    <row r="34" spans="1:18">
      <c r="A34" s="91" t="s">
        <v>109</v>
      </c>
      <c r="B34" s="223" t="s">
        <v>140</v>
      </c>
      <c r="C34" s="219">
        <f t="shared" ref="C34:O34" si="35">SUM(C35:C35)</f>
        <v>2000</v>
      </c>
      <c r="D34" s="219">
        <f t="shared" si="35"/>
        <v>0</v>
      </c>
      <c r="E34" s="219">
        <f t="shared" si="35"/>
        <v>2000</v>
      </c>
      <c r="F34" s="219">
        <f t="shared" si="35"/>
        <v>1999.364</v>
      </c>
      <c r="G34" s="219">
        <f t="shared" si="35"/>
        <v>0</v>
      </c>
      <c r="H34" s="219">
        <f t="shared" si="35"/>
        <v>1999.364</v>
      </c>
      <c r="I34" s="219">
        <f t="shared" si="35"/>
        <v>1999.364</v>
      </c>
      <c r="J34" s="219">
        <f t="shared" si="35"/>
        <v>0</v>
      </c>
      <c r="K34" s="219">
        <f t="shared" si="35"/>
        <v>0</v>
      </c>
      <c r="L34" s="219">
        <f t="shared" si="35"/>
        <v>0</v>
      </c>
      <c r="M34" s="219">
        <f t="shared" si="35"/>
        <v>1999.364</v>
      </c>
      <c r="N34" s="219">
        <f t="shared" si="35"/>
        <v>1999.364</v>
      </c>
      <c r="O34" s="201">
        <f t="shared" si="35"/>
        <v>0</v>
      </c>
      <c r="P34" s="201">
        <f t="shared" ref="P34:P35" si="36">F34/C34*100</f>
        <v>99.96820000000001</v>
      </c>
      <c r="Q34" s="201"/>
      <c r="R34" s="201">
        <f t="shared" ref="R34:R35" si="37">H34/E34*100</f>
        <v>99.96820000000001</v>
      </c>
    </row>
    <row r="35" spans="1:18" ht="78.75">
      <c r="A35" s="91"/>
      <c r="B35" s="73" t="s">
        <v>418</v>
      </c>
      <c r="C35" s="205">
        <f t="shared" ref="C35" si="38">D35+E35</f>
        <v>2000</v>
      </c>
      <c r="D35" s="205"/>
      <c r="E35" s="205">
        <v>2000</v>
      </c>
      <c r="F35" s="205">
        <f t="shared" ref="F35" si="39">G35+H35</f>
        <v>1999.364</v>
      </c>
      <c r="G35" s="205">
        <f t="shared" ref="G35" si="40">J35</f>
        <v>0</v>
      </c>
      <c r="H35" s="205">
        <f t="shared" ref="H35" si="41">M35</f>
        <v>1999.364</v>
      </c>
      <c r="I35" s="205">
        <f t="shared" ref="I35" si="42">J35+M35</f>
        <v>1999.364</v>
      </c>
      <c r="J35" s="205">
        <f>K35+L35</f>
        <v>0</v>
      </c>
      <c r="K35" s="205"/>
      <c r="L35" s="219"/>
      <c r="M35" s="205">
        <f t="shared" ref="M35" si="43">N35+O35</f>
        <v>1999.364</v>
      </c>
      <c r="N35" s="205">
        <v>1999.364</v>
      </c>
      <c r="O35" s="206"/>
      <c r="P35" s="206">
        <f t="shared" si="36"/>
        <v>99.96820000000001</v>
      </c>
      <c r="Q35" s="201"/>
      <c r="R35" s="206">
        <f t="shared" si="37"/>
        <v>99.96820000000001</v>
      </c>
    </row>
    <row r="36" spans="1:18">
      <c r="A36" s="224" t="s">
        <v>110</v>
      </c>
      <c r="B36" s="74" t="s">
        <v>203</v>
      </c>
      <c r="C36" s="219">
        <f>SUM(C37:C53)</f>
        <v>24405.523994000003</v>
      </c>
      <c r="D36" s="219">
        <f t="shared" ref="D36:O36" si="44">SUM(D37:D53)</f>
        <v>23155.523994000003</v>
      </c>
      <c r="E36" s="219">
        <f t="shared" si="44"/>
        <v>1250</v>
      </c>
      <c r="F36" s="219">
        <f t="shared" si="44"/>
        <v>24352.432143999995</v>
      </c>
      <c r="G36" s="219">
        <f t="shared" si="44"/>
        <v>23105.648143999995</v>
      </c>
      <c r="H36" s="219">
        <f t="shared" si="44"/>
        <v>1246.7840000000001</v>
      </c>
      <c r="I36" s="219">
        <f t="shared" si="44"/>
        <v>24352.432143999995</v>
      </c>
      <c r="J36" s="219">
        <f t="shared" si="44"/>
        <v>23105.648143999995</v>
      </c>
      <c r="K36" s="219">
        <f t="shared" si="44"/>
        <v>23105.648143999995</v>
      </c>
      <c r="L36" s="219">
        <f t="shared" si="44"/>
        <v>0</v>
      </c>
      <c r="M36" s="219">
        <f t="shared" si="44"/>
        <v>1246.7840000000001</v>
      </c>
      <c r="N36" s="219">
        <f t="shared" si="44"/>
        <v>1246.7840000000001</v>
      </c>
      <c r="O36" s="201">
        <f t="shared" si="44"/>
        <v>0</v>
      </c>
      <c r="P36" s="201">
        <f t="shared" si="3"/>
        <v>99.782459700463463</v>
      </c>
      <c r="Q36" s="201">
        <f t="shared" si="3"/>
        <v>99.784604960730178</v>
      </c>
      <c r="R36" s="201"/>
    </row>
    <row r="37" spans="1:18" ht="78.75">
      <c r="A37" s="225"/>
      <c r="B37" s="73" t="s">
        <v>419</v>
      </c>
      <c r="C37" s="205">
        <f t="shared" si="15"/>
        <v>1250</v>
      </c>
      <c r="D37" s="205"/>
      <c r="E37" s="205">
        <v>1250</v>
      </c>
      <c r="F37" s="205">
        <f>G37+H37</f>
        <v>1246.7840000000001</v>
      </c>
      <c r="G37" s="205">
        <f>J37</f>
        <v>0</v>
      </c>
      <c r="H37" s="205">
        <f>M37</f>
        <v>1246.7840000000001</v>
      </c>
      <c r="I37" s="205">
        <f t="shared" si="18"/>
        <v>1246.7840000000001</v>
      </c>
      <c r="J37" s="205">
        <f>SUM(K37:L37)</f>
        <v>0</v>
      </c>
      <c r="K37" s="205"/>
      <c r="L37" s="219"/>
      <c r="M37" s="205">
        <f t="shared" si="19"/>
        <v>1246.7840000000001</v>
      </c>
      <c r="N37" s="205">
        <v>1246.7840000000001</v>
      </c>
      <c r="O37" s="206"/>
      <c r="P37" s="206">
        <f t="shared" si="3"/>
        <v>99.742720000000006</v>
      </c>
      <c r="Q37" s="206"/>
      <c r="R37" s="206">
        <f>H37/E37*100</f>
        <v>99.742720000000006</v>
      </c>
    </row>
    <row r="38" spans="1:18" ht="31.5">
      <c r="A38" s="225"/>
      <c r="B38" s="73" t="s">
        <v>356</v>
      </c>
      <c r="C38" s="205">
        <f t="shared" si="15"/>
        <v>4627.9679999999998</v>
      </c>
      <c r="D38" s="205">
        <v>4627.9679999999998</v>
      </c>
      <c r="E38" s="205"/>
      <c r="F38" s="205">
        <f t="shared" ref="F38:F53" si="45">G38+H38</f>
        <v>4627.9679999999998</v>
      </c>
      <c r="G38" s="205">
        <f t="shared" ref="G38:G53" si="46">J38</f>
        <v>4627.9679999999998</v>
      </c>
      <c r="H38" s="205"/>
      <c r="I38" s="205">
        <f t="shared" si="18"/>
        <v>4627.9679999999998</v>
      </c>
      <c r="J38" s="205">
        <f t="shared" ref="J38:J53" si="47">SUM(K38:L38)</f>
        <v>4627.9679999999998</v>
      </c>
      <c r="K38" s="205">
        <v>4627.9679999999998</v>
      </c>
      <c r="L38" s="219"/>
      <c r="M38" s="205">
        <f t="shared" si="19"/>
        <v>0</v>
      </c>
      <c r="N38" s="205"/>
      <c r="O38" s="206"/>
      <c r="P38" s="206">
        <f t="shared" si="3"/>
        <v>100</v>
      </c>
      <c r="Q38" s="206">
        <f t="shared" si="3"/>
        <v>100</v>
      </c>
      <c r="R38" s="206"/>
    </row>
    <row r="39" spans="1:18" ht="16.5">
      <c r="A39" s="225"/>
      <c r="B39" s="83" t="s">
        <v>420</v>
      </c>
      <c r="C39" s="205">
        <f t="shared" si="15"/>
        <v>4059.989</v>
      </c>
      <c r="D39" s="205">
        <v>4059.989</v>
      </c>
      <c r="E39" s="205"/>
      <c r="F39" s="205">
        <f t="shared" si="45"/>
        <v>4052.8739999999998</v>
      </c>
      <c r="G39" s="205">
        <f t="shared" si="46"/>
        <v>4052.8739999999998</v>
      </c>
      <c r="H39" s="205"/>
      <c r="I39" s="205">
        <f t="shared" si="18"/>
        <v>4052.8739999999998</v>
      </c>
      <c r="J39" s="205">
        <f t="shared" si="47"/>
        <v>4052.8739999999998</v>
      </c>
      <c r="K39" s="205">
        <v>4052.8739999999998</v>
      </c>
      <c r="L39" s="219"/>
      <c r="M39" s="205"/>
      <c r="N39" s="205"/>
      <c r="O39" s="206"/>
      <c r="P39" s="206">
        <f t="shared" si="3"/>
        <v>99.824753219774735</v>
      </c>
      <c r="Q39" s="206">
        <f t="shared" si="3"/>
        <v>99.824753219774735</v>
      </c>
      <c r="R39" s="206"/>
    </row>
    <row r="40" spans="1:18" ht="31.5">
      <c r="A40" s="225"/>
      <c r="B40" s="73" t="s">
        <v>357</v>
      </c>
      <c r="C40" s="205">
        <f t="shared" si="15"/>
        <v>4035.8026639999998</v>
      </c>
      <c r="D40" s="205">
        <v>4035.8026639999998</v>
      </c>
      <c r="E40" s="205"/>
      <c r="F40" s="205">
        <f t="shared" si="45"/>
        <v>4031.016114</v>
      </c>
      <c r="G40" s="205">
        <f t="shared" si="46"/>
        <v>4031.016114</v>
      </c>
      <c r="H40" s="205"/>
      <c r="I40" s="205">
        <f t="shared" si="18"/>
        <v>4031.016114</v>
      </c>
      <c r="J40" s="205">
        <f t="shared" si="47"/>
        <v>4031.016114</v>
      </c>
      <c r="K40" s="205">
        <v>4031.016114</v>
      </c>
      <c r="L40" s="219"/>
      <c r="M40" s="205">
        <f t="shared" si="19"/>
        <v>0</v>
      </c>
      <c r="N40" s="205"/>
      <c r="O40" s="206"/>
      <c r="P40" s="206">
        <f t="shared" si="3"/>
        <v>99.881397818513364</v>
      </c>
      <c r="Q40" s="206">
        <f t="shared" si="3"/>
        <v>99.881397818513364</v>
      </c>
      <c r="R40" s="206"/>
    </row>
    <row r="41" spans="1:18" ht="31.5">
      <c r="A41" s="225"/>
      <c r="B41" s="73" t="s">
        <v>358</v>
      </c>
      <c r="C41" s="205">
        <f t="shared" si="15"/>
        <v>1213.6877999999999</v>
      </c>
      <c r="D41" s="205">
        <v>1213.6877999999999</v>
      </c>
      <c r="E41" s="205"/>
      <c r="F41" s="205">
        <f t="shared" si="45"/>
        <v>1206.7326</v>
      </c>
      <c r="G41" s="205">
        <f t="shared" si="46"/>
        <v>1206.7326</v>
      </c>
      <c r="H41" s="205"/>
      <c r="I41" s="205">
        <f t="shared" si="18"/>
        <v>1206.7326</v>
      </c>
      <c r="J41" s="205">
        <f t="shared" si="47"/>
        <v>1206.7326</v>
      </c>
      <c r="K41" s="205">
        <v>1206.7326</v>
      </c>
      <c r="L41" s="219"/>
      <c r="M41" s="205">
        <f t="shared" si="19"/>
        <v>0</v>
      </c>
      <c r="N41" s="205"/>
      <c r="O41" s="206"/>
      <c r="P41" s="206">
        <f t="shared" si="3"/>
        <v>99.426936647134468</v>
      </c>
      <c r="Q41" s="206">
        <f t="shared" si="3"/>
        <v>99.426936647134468</v>
      </c>
      <c r="R41" s="206"/>
    </row>
    <row r="42" spans="1:18" ht="31.5">
      <c r="A42" s="225"/>
      <c r="B42" s="73" t="s">
        <v>359</v>
      </c>
      <c r="C42" s="205">
        <f t="shared" si="15"/>
        <v>1149.9423999999999</v>
      </c>
      <c r="D42" s="205">
        <v>1149.9423999999999</v>
      </c>
      <c r="E42" s="205"/>
      <c r="F42" s="205">
        <f t="shared" si="45"/>
        <v>1134.7184</v>
      </c>
      <c r="G42" s="205">
        <f t="shared" si="46"/>
        <v>1134.7184</v>
      </c>
      <c r="H42" s="205"/>
      <c r="I42" s="205">
        <f t="shared" si="18"/>
        <v>1134.7184</v>
      </c>
      <c r="J42" s="205">
        <f t="shared" si="47"/>
        <v>1134.7184</v>
      </c>
      <c r="K42" s="205">
        <v>1134.7184</v>
      </c>
      <c r="L42" s="219"/>
      <c r="M42" s="205">
        <f t="shared" si="19"/>
        <v>0</v>
      </c>
      <c r="N42" s="205"/>
      <c r="O42" s="206"/>
      <c r="P42" s="206">
        <f t="shared" si="3"/>
        <v>98.676107603302583</v>
      </c>
      <c r="Q42" s="206">
        <f t="shared" si="3"/>
        <v>98.676107603302583</v>
      </c>
      <c r="R42" s="206"/>
    </row>
    <row r="43" spans="1:18" ht="31.5">
      <c r="A43" s="225"/>
      <c r="B43" s="73" t="s">
        <v>360</v>
      </c>
      <c r="C43" s="205">
        <f t="shared" si="15"/>
        <v>1394.9812300000001</v>
      </c>
      <c r="D43" s="205">
        <v>1394.9812300000001</v>
      </c>
      <c r="E43" s="205"/>
      <c r="F43" s="205">
        <f t="shared" si="45"/>
        <v>1391.84923</v>
      </c>
      <c r="G43" s="205">
        <f t="shared" si="46"/>
        <v>1391.84923</v>
      </c>
      <c r="H43" s="205"/>
      <c r="I43" s="205">
        <f t="shared" si="18"/>
        <v>1391.84923</v>
      </c>
      <c r="J43" s="205">
        <f t="shared" si="47"/>
        <v>1391.84923</v>
      </c>
      <c r="K43" s="205">
        <v>1391.84923</v>
      </c>
      <c r="L43" s="219"/>
      <c r="M43" s="205">
        <f t="shared" si="19"/>
        <v>0</v>
      </c>
      <c r="N43" s="205"/>
      <c r="O43" s="206"/>
      <c r="P43" s="206">
        <f t="shared" si="3"/>
        <v>99.775480850018312</v>
      </c>
      <c r="Q43" s="206">
        <f t="shared" si="3"/>
        <v>99.775480850018312</v>
      </c>
      <c r="R43" s="206"/>
    </row>
    <row r="44" spans="1:18">
      <c r="A44" s="225"/>
      <c r="B44" s="73" t="s">
        <v>361</v>
      </c>
      <c r="C44" s="205">
        <f t="shared" si="15"/>
        <v>988.88900000000001</v>
      </c>
      <c r="D44" s="205">
        <v>988.88900000000001</v>
      </c>
      <c r="E44" s="205"/>
      <c r="F44" s="205">
        <f t="shared" si="45"/>
        <v>987.26790000000005</v>
      </c>
      <c r="G44" s="205">
        <f t="shared" si="46"/>
        <v>987.26790000000005</v>
      </c>
      <c r="H44" s="205"/>
      <c r="I44" s="205">
        <f t="shared" si="18"/>
        <v>987.26790000000005</v>
      </c>
      <c r="J44" s="205">
        <f t="shared" si="47"/>
        <v>987.26790000000005</v>
      </c>
      <c r="K44" s="205">
        <v>987.26790000000005</v>
      </c>
      <c r="L44" s="219"/>
      <c r="M44" s="205">
        <f t="shared" si="19"/>
        <v>0</v>
      </c>
      <c r="N44" s="205"/>
      <c r="O44" s="206"/>
      <c r="P44" s="206">
        <f t="shared" si="3"/>
        <v>99.836068557745108</v>
      </c>
      <c r="Q44" s="206">
        <f t="shared" si="3"/>
        <v>99.836068557745108</v>
      </c>
      <c r="R44" s="206"/>
    </row>
    <row r="45" spans="1:18" ht="31.5">
      <c r="A45" s="225"/>
      <c r="B45" s="73" t="s">
        <v>362</v>
      </c>
      <c r="C45" s="205">
        <f t="shared" si="15"/>
        <v>1270.0818999999999</v>
      </c>
      <c r="D45" s="205">
        <v>1270.0818999999999</v>
      </c>
      <c r="E45" s="205"/>
      <c r="F45" s="205">
        <f t="shared" si="45"/>
        <v>1266.3018999999999</v>
      </c>
      <c r="G45" s="205">
        <f t="shared" si="46"/>
        <v>1266.3018999999999</v>
      </c>
      <c r="H45" s="205"/>
      <c r="I45" s="205">
        <f t="shared" si="18"/>
        <v>1266.3018999999999</v>
      </c>
      <c r="J45" s="205">
        <f t="shared" si="47"/>
        <v>1266.3018999999999</v>
      </c>
      <c r="K45" s="205">
        <v>1266.3018999999999</v>
      </c>
      <c r="L45" s="219"/>
      <c r="M45" s="205">
        <f t="shared" si="19"/>
        <v>0</v>
      </c>
      <c r="N45" s="205"/>
      <c r="O45" s="206"/>
      <c r="P45" s="206">
        <f t="shared" si="3"/>
        <v>99.702381397609088</v>
      </c>
      <c r="Q45" s="206">
        <f t="shared" si="3"/>
        <v>99.702381397609088</v>
      </c>
      <c r="R45" s="206"/>
    </row>
    <row r="46" spans="1:18">
      <c r="A46" s="225"/>
      <c r="B46" s="73" t="s">
        <v>363</v>
      </c>
      <c r="C46" s="205">
        <f t="shared" si="15"/>
        <v>742</v>
      </c>
      <c r="D46" s="205">
        <v>742</v>
      </c>
      <c r="E46" s="205"/>
      <c r="F46" s="205">
        <f t="shared" si="45"/>
        <v>741.59400000000005</v>
      </c>
      <c r="G46" s="205">
        <f t="shared" si="46"/>
        <v>741.59400000000005</v>
      </c>
      <c r="H46" s="205"/>
      <c r="I46" s="205">
        <f t="shared" si="18"/>
        <v>741.59400000000005</v>
      </c>
      <c r="J46" s="205">
        <f t="shared" si="47"/>
        <v>741.59400000000005</v>
      </c>
      <c r="K46" s="205">
        <v>741.59400000000005</v>
      </c>
      <c r="L46" s="219"/>
      <c r="M46" s="205">
        <f t="shared" si="19"/>
        <v>0</v>
      </c>
      <c r="N46" s="205"/>
      <c r="O46" s="206"/>
      <c r="P46" s="206">
        <f t="shared" si="3"/>
        <v>99.94528301886794</v>
      </c>
      <c r="Q46" s="206">
        <f t="shared" si="3"/>
        <v>99.94528301886794</v>
      </c>
      <c r="R46" s="206"/>
    </row>
    <row r="47" spans="1:18" ht="31.5">
      <c r="A47" s="225"/>
      <c r="B47" s="73" t="s">
        <v>364</v>
      </c>
      <c r="C47" s="205">
        <f t="shared" si="15"/>
        <v>874</v>
      </c>
      <c r="D47" s="205">
        <v>874</v>
      </c>
      <c r="E47" s="205"/>
      <c r="F47" s="205">
        <f t="shared" si="45"/>
        <v>873.74300000000005</v>
      </c>
      <c r="G47" s="205">
        <f t="shared" si="46"/>
        <v>873.74300000000005</v>
      </c>
      <c r="H47" s="205"/>
      <c r="I47" s="205">
        <f t="shared" si="18"/>
        <v>873.74300000000005</v>
      </c>
      <c r="J47" s="205">
        <f t="shared" si="47"/>
        <v>873.74300000000005</v>
      </c>
      <c r="K47" s="205">
        <v>873.74300000000005</v>
      </c>
      <c r="L47" s="219"/>
      <c r="M47" s="205">
        <f t="shared" si="19"/>
        <v>0</v>
      </c>
      <c r="N47" s="205"/>
      <c r="O47" s="206"/>
      <c r="P47" s="206">
        <f t="shared" si="3"/>
        <v>99.970594965675062</v>
      </c>
      <c r="Q47" s="206">
        <f t="shared" si="3"/>
        <v>99.970594965675062</v>
      </c>
      <c r="R47" s="206"/>
    </row>
    <row r="48" spans="1:18" ht="31.5">
      <c r="A48" s="225"/>
      <c r="B48" s="73" t="s">
        <v>365</v>
      </c>
      <c r="C48" s="205">
        <f t="shared" si="15"/>
        <v>887.91899999999998</v>
      </c>
      <c r="D48" s="205">
        <v>887.91899999999998</v>
      </c>
      <c r="E48" s="205"/>
      <c r="F48" s="205">
        <f t="shared" si="45"/>
        <v>883.35699999999997</v>
      </c>
      <c r="G48" s="205">
        <f t="shared" si="46"/>
        <v>883.35699999999997</v>
      </c>
      <c r="H48" s="205"/>
      <c r="I48" s="205">
        <f t="shared" si="18"/>
        <v>883.35699999999997</v>
      </c>
      <c r="J48" s="205">
        <f t="shared" si="47"/>
        <v>883.35699999999997</v>
      </c>
      <c r="K48" s="205">
        <v>883.35699999999997</v>
      </c>
      <c r="L48" s="219"/>
      <c r="M48" s="205">
        <f t="shared" si="19"/>
        <v>0</v>
      </c>
      <c r="N48" s="205"/>
      <c r="O48" s="206"/>
      <c r="P48" s="206">
        <f t="shared" si="3"/>
        <v>99.486214395682495</v>
      </c>
      <c r="Q48" s="206">
        <f t="shared" si="3"/>
        <v>99.486214395682495</v>
      </c>
      <c r="R48" s="206"/>
    </row>
    <row r="49" spans="1:18" ht="31.5">
      <c r="A49" s="225"/>
      <c r="B49" s="73" t="s">
        <v>366</v>
      </c>
      <c r="C49" s="205">
        <f t="shared" si="15"/>
        <v>955.26300000000003</v>
      </c>
      <c r="D49" s="205">
        <v>955.26300000000003</v>
      </c>
      <c r="E49" s="205"/>
      <c r="F49" s="205">
        <f t="shared" si="45"/>
        <v>953.47900000000004</v>
      </c>
      <c r="G49" s="205">
        <f t="shared" si="46"/>
        <v>953.47900000000004</v>
      </c>
      <c r="H49" s="205"/>
      <c r="I49" s="205">
        <f t="shared" si="18"/>
        <v>953.47900000000004</v>
      </c>
      <c r="J49" s="205">
        <f t="shared" si="47"/>
        <v>953.47900000000004</v>
      </c>
      <c r="K49" s="205">
        <v>953.47900000000004</v>
      </c>
      <c r="L49" s="219"/>
      <c r="M49" s="205">
        <f t="shared" si="19"/>
        <v>0</v>
      </c>
      <c r="N49" s="205"/>
      <c r="O49" s="206"/>
      <c r="P49" s="206">
        <f t="shared" si="3"/>
        <v>99.813245148194795</v>
      </c>
      <c r="Q49" s="206">
        <f t="shared" si="3"/>
        <v>99.813245148194795</v>
      </c>
      <c r="R49" s="206"/>
    </row>
    <row r="50" spans="1:18" ht="31.5">
      <c r="A50" s="225"/>
      <c r="B50" s="73" t="s">
        <v>367</v>
      </c>
      <c r="C50" s="205">
        <f t="shared" si="15"/>
        <v>655</v>
      </c>
      <c r="D50" s="205">
        <v>655</v>
      </c>
      <c r="E50" s="205"/>
      <c r="F50" s="205">
        <f t="shared" si="45"/>
        <v>654.74699999999996</v>
      </c>
      <c r="G50" s="205">
        <f t="shared" si="46"/>
        <v>654.74699999999996</v>
      </c>
      <c r="H50" s="205"/>
      <c r="I50" s="205">
        <f t="shared" si="18"/>
        <v>654.74699999999996</v>
      </c>
      <c r="J50" s="205">
        <f t="shared" si="47"/>
        <v>654.74699999999996</v>
      </c>
      <c r="K50" s="205">
        <v>654.74699999999996</v>
      </c>
      <c r="L50" s="219"/>
      <c r="M50" s="205">
        <f t="shared" si="19"/>
        <v>0</v>
      </c>
      <c r="N50" s="205"/>
      <c r="O50" s="206"/>
      <c r="P50" s="206">
        <f t="shared" si="3"/>
        <v>99.96137404580152</v>
      </c>
      <c r="Q50" s="206">
        <f t="shared" si="3"/>
        <v>99.96137404580152</v>
      </c>
      <c r="R50" s="206"/>
    </row>
    <row r="51" spans="1:18">
      <c r="A51" s="225"/>
      <c r="B51" s="84" t="s">
        <v>421</v>
      </c>
      <c r="C51" s="205">
        <f t="shared" si="15"/>
        <v>50</v>
      </c>
      <c r="D51" s="205">
        <v>50</v>
      </c>
      <c r="E51" s="205"/>
      <c r="F51" s="205">
        <f t="shared" si="45"/>
        <v>50</v>
      </c>
      <c r="G51" s="205">
        <f t="shared" si="46"/>
        <v>50</v>
      </c>
      <c r="H51" s="205"/>
      <c r="I51" s="205">
        <f t="shared" si="18"/>
        <v>50</v>
      </c>
      <c r="J51" s="205">
        <f t="shared" si="47"/>
        <v>50</v>
      </c>
      <c r="K51" s="205">
        <v>50</v>
      </c>
      <c r="L51" s="219"/>
      <c r="M51" s="205"/>
      <c r="N51" s="205"/>
      <c r="O51" s="206"/>
      <c r="P51" s="206">
        <f t="shared" si="3"/>
        <v>100</v>
      </c>
      <c r="Q51" s="206">
        <f t="shared" si="3"/>
        <v>100</v>
      </c>
      <c r="R51" s="206"/>
    </row>
    <row r="52" spans="1:18">
      <c r="A52" s="225"/>
      <c r="B52" s="84" t="s">
        <v>422</v>
      </c>
      <c r="C52" s="205">
        <f t="shared" si="15"/>
        <v>50</v>
      </c>
      <c r="D52" s="205">
        <v>50</v>
      </c>
      <c r="E52" s="205"/>
      <c r="F52" s="205">
        <f t="shared" si="45"/>
        <v>50</v>
      </c>
      <c r="G52" s="205">
        <f t="shared" si="46"/>
        <v>50</v>
      </c>
      <c r="H52" s="205"/>
      <c r="I52" s="205">
        <f t="shared" si="18"/>
        <v>50</v>
      </c>
      <c r="J52" s="205">
        <f t="shared" si="47"/>
        <v>50</v>
      </c>
      <c r="K52" s="205">
        <v>50</v>
      </c>
      <c r="L52" s="219"/>
      <c r="M52" s="205"/>
      <c r="N52" s="205"/>
      <c r="O52" s="206"/>
      <c r="P52" s="206">
        <f t="shared" si="3"/>
        <v>100</v>
      </c>
      <c r="Q52" s="206">
        <f t="shared" si="3"/>
        <v>100</v>
      </c>
      <c r="R52" s="206"/>
    </row>
    <row r="53" spans="1:18">
      <c r="A53" s="225"/>
      <c r="B53" s="84" t="s">
        <v>423</v>
      </c>
      <c r="C53" s="205">
        <f t="shared" si="15"/>
        <v>200</v>
      </c>
      <c r="D53" s="205">
        <v>200</v>
      </c>
      <c r="E53" s="205"/>
      <c r="F53" s="205">
        <f t="shared" si="45"/>
        <v>200</v>
      </c>
      <c r="G53" s="205">
        <f t="shared" si="46"/>
        <v>200</v>
      </c>
      <c r="H53" s="205"/>
      <c r="I53" s="205">
        <f t="shared" si="18"/>
        <v>200</v>
      </c>
      <c r="J53" s="205">
        <f t="shared" si="47"/>
        <v>200</v>
      </c>
      <c r="K53" s="205">
        <v>200</v>
      </c>
      <c r="L53" s="219"/>
      <c r="M53" s="205"/>
      <c r="N53" s="205"/>
      <c r="O53" s="206"/>
      <c r="P53" s="206">
        <f t="shared" si="3"/>
        <v>100</v>
      </c>
      <c r="Q53" s="206">
        <f t="shared" si="3"/>
        <v>100</v>
      </c>
      <c r="R53" s="206"/>
    </row>
    <row r="54" spans="1:18" ht="31.5">
      <c r="A54" s="199">
        <v>2</v>
      </c>
      <c r="B54" s="74" t="s">
        <v>368</v>
      </c>
      <c r="C54" s="219">
        <f>C55</f>
        <v>5695</v>
      </c>
      <c r="D54" s="219">
        <f t="shared" ref="D54:O54" si="48">D55</f>
        <v>0</v>
      </c>
      <c r="E54" s="219">
        <f t="shared" si="48"/>
        <v>5645</v>
      </c>
      <c r="F54" s="219">
        <f t="shared" si="48"/>
        <v>2652.4646899999998</v>
      </c>
      <c r="G54" s="219">
        <f t="shared" si="48"/>
        <v>0</v>
      </c>
      <c r="H54" s="219">
        <f t="shared" si="48"/>
        <v>2652.4646899999998</v>
      </c>
      <c r="I54" s="219">
        <f t="shared" si="48"/>
        <v>2652.4646899999998</v>
      </c>
      <c r="J54" s="219">
        <f t="shared" si="48"/>
        <v>0</v>
      </c>
      <c r="K54" s="219">
        <f t="shared" si="48"/>
        <v>0</v>
      </c>
      <c r="L54" s="219">
        <f t="shared" si="48"/>
        <v>0</v>
      </c>
      <c r="M54" s="219">
        <f t="shared" si="48"/>
        <v>2652.4646899999998</v>
      </c>
      <c r="N54" s="219">
        <f t="shared" si="48"/>
        <v>2652.4646899999998</v>
      </c>
      <c r="O54" s="201">
        <f t="shared" si="48"/>
        <v>0</v>
      </c>
      <c r="P54" s="201">
        <f t="shared" si="3"/>
        <v>46.575323792800702</v>
      </c>
      <c r="Q54" s="201"/>
      <c r="R54" s="201">
        <f t="shared" si="3"/>
        <v>46.987859875996449</v>
      </c>
    </row>
    <row r="55" spans="1:18">
      <c r="A55" s="199" t="s">
        <v>131</v>
      </c>
      <c r="B55" s="74" t="s">
        <v>369</v>
      </c>
      <c r="C55" s="219">
        <f>C56+C62+C65</f>
        <v>5695</v>
      </c>
      <c r="D55" s="219">
        <f t="shared" ref="D55:O55" si="49">D56+D62+D65</f>
        <v>0</v>
      </c>
      <c r="E55" s="219">
        <f t="shared" si="49"/>
        <v>5645</v>
      </c>
      <c r="F55" s="219">
        <f t="shared" si="49"/>
        <v>2652.4646899999998</v>
      </c>
      <c r="G55" s="219">
        <f t="shared" si="49"/>
        <v>0</v>
      </c>
      <c r="H55" s="219">
        <f t="shared" si="49"/>
        <v>2652.4646899999998</v>
      </c>
      <c r="I55" s="219">
        <f t="shared" si="49"/>
        <v>2652.4646899999998</v>
      </c>
      <c r="J55" s="219">
        <f t="shared" si="49"/>
        <v>0</v>
      </c>
      <c r="K55" s="219">
        <f t="shared" si="49"/>
        <v>0</v>
      </c>
      <c r="L55" s="219">
        <f t="shared" si="49"/>
        <v>0</v>
      </c>
      <c r="M55" s="219">
        <f t="shared" si="49"/>
        <v>2652.4646899999998</v>
      </c>
      <c r="N55" s="219">
        <f t="shared" si="49"/>
        <v>2652.4646899999998</v>
      </c>
      <c r="O55" s="201">
        <f t="shared" si="49"/>
        <v>0</v>
      </c>
      <c r="P55" s="201">
        <f t="shared" si="3"/>
        <v>46.575323792800702</v>
      </c>
      <c r="Q55" s="201"/>
      <c r="R55" s="201">
        <f t="shared" si="3"/>
        <v>46.987859875996449</v>
      </c>
    </row>
    <row r="56" spans="1:18">
      <c r="A56" s="199" t="s">
        <v>424</v>
      </c>
      <c r="B56" s="74" t="s">
        <v>370</v>
      </c>
      <c r="C56" s="219">
        <f>SUM(C57:C61)</f>
        <v>4938</v>
      </c>
      <c r="D56" s="219">
        <f t="shared" ref="D56:N56" si="50">SUM(D57:D61)</f>
        <v>0</v>
      </c>
      <c r="E56" s="219">
        <f t="shared" si="50"/>
        <v>4938</v>
      </c>
      <c r="F56" s="219">
        <f t="shared" si="50"/>
        <v>1992.0822900000001</v>
      </c>
      <c r="G56" s="219">
        <f t="shared" si="50"/>
        <v>0</v>
      </c>
      <c r="H56" s="219">
        <f t="shared" si="50"/>
        <v>1992.0822900000001</v>
      </c>
      <c r="I56" s="219">
        <f t="shared" si="50"/>
        <v>1992.0822900000001</v>
      </c>
      <c r="J56" s="219">
        <f t="shared" si="50"/>
        <v>0</v>
      </c>
      <c r="K56" s="219">
        <f t="shared" si="50"/>
        <v>0</v>
      </c>
      <c r="L56" s="219">
        <f t="shared" si="50"/>
        <v>0</v>
      </c>
      <c r="M56" s="219">
        <f t="shared" si="50"/>
        <v>1992.0822900000001</v>
      </c>
      <c r="N56" s="219">
        <f t="shared" si="50"/>
        <v>1992.0822900000001</v>
      </c>
      <c r="O56" s="201">
        <f t="shared" ref="O56" si="51">SUM(O57:O59)</f>
        <v>0</v>
      </c>
      <c r="P56" s="201">
        <f t="shared" si="3"/>
        <v>40.341885176184689</v>
      </c>
      <c r="Q56" s="201"/>
      <c r="R56" s="201">
        <f t="shared" si="3"/>
        <v>40.341885176184689</v>
      </c>
    </row>
    <row r="57" spans="1:18" ht="31.5">
      <c r="A57" s="225"/>
      <c r="B57" s="73" t="s">
        <v>371</v>
      </c>
      <c r="C57" s="205">
        <f t="shared" ref="C57:C61" si="52">D57+E57</f>
        <v>2800</v>
      </c>
      <c r="D57" s="219"/>
      <c r="E57" s="205">
        <f>1460+1340</f>
        <v>2800</v>
      </c>
      <c r="F57" s="205">
        <f t="shared" ref="F57:F61" si="53">G57+H57</f>
        <v>1286.4276500000001</v>
      </c>
      <c r="G57" s="219">
        <f t="shared" ref="G57:G59" si="54">J57</f>
        <v>0</v>
      </c>
      <c r="H57" s="205">
        <f t="shared" ref="H57:H61" si="55">M57</f>
        <v>1286.4276500000001</v>
      </c>
      <c r="I57" s="205">
        <f t="shared" ref="I57:I61" si="56">J57+M57</f>
        <v>1286.4276500000001</v>
      </c>
      <c r="J57" s="219">
        <f t="shared" ref="J57:J59" si="57">SUM(K57:L57)</f>
        <v>0</v>
      </c>
      <c r="K57" s="219"/>
      <c r="L57" s="219"/>
      <c r="M57" s="205">
        <f t="shared" ref="M57:M61" si="58">N57+O57</f>
        <v>1286.4276500000001</v>
      </c>
      <c r="N57" s="205">
        <v>1286.4276500000001</v>
      </c>
      <c r="O57" s="206"/>
      <c r="P57" s="206">
        <f t="shared" si="3"/>
        <v>45.943844642857144</v>
      </c>
      <c r="Q57" s="201"/>
      <c r="R57" s="206">
        <f t="shared" si="3"/>
        <v>45.943844642857144</v>
      </c>
    </row>
    <row r="58" spans="1:18">
      <c r="A58" s="85"/>
      <c r="B58" s="226" t="s">
        <v>372</v>
      </c>
      <c r="C58" s="205">
        <f t="shared" si="52"/>
        <v>1071</v>
      </c>
      <c r="D58" s="205"/>
      <c r="E58" s="205">
        <f>621+450</f>
        <v>1071</v>
      </c>
      <c r="F58" s="205">
        <f t="shared" si="53"/>
        <v>0</v>
      </c>
      <c r="G58" s="219">
        <f t="shared" si="54"/>
        <v>0</v>
      </c>
      <c r="H58" s="205">
        <f t="shared" si="55"/>
        <v>0</v>
      </c>
      <c r="I58" s="205">
        <f t="shared" si="56"/>
        <v>0</v>
      </c>
      <c r="J58" s="219">
        <f t="shared" si="57"/>
        <v>0</v>
      </c>
      <c r="K58" s="205"/>
      <c r="L58" s="205"/>
      <c r="M58" s="205">
        <f t="shared" si="58"/>
        <v>0</v>
      </c>
      <c r="N58" s="205"/>
      <c r="O58" s="226"/>
      <c r="P58" s="226"/>
      <c r="Q58" s="226"/>
      <c r="R58" s="226"/>
    </row>
    <row r="59" spans="1:18">
      <c r="A59" s="85"/>
      <c r="B59" s="226" t="s">
        <v>373</v>
      </c>
      <c r="C59" s="205">
        <f t="shared" si="52"/>
        <v>301</v>
      </c>
      <c r="D59" s="205"/>
      <c r="E59" s="205">
        <f>48+253</f>
        <v>301</v>
      </c>
      <c r="F59" s="205">
        <f t="shared" si="53"/>
        <v>200.40943999999999</v>
      </c>
      <c r="G59" s="219">
        <f t="shared" si="54"/>
        <v>0</v>
      </c>
      <c r="H59" s="205">
        <f t="shared" si="55"/>
        <v>200.40943999999999</v>
      </c>
      <c r="I59" s="205">
        <f t="shared" si="56"/>
        <v>200.40943999999999</v>
      </c>
      <c r="J59" s="219">
        <f t="shared" si="57"/>
        <v>0</v>
      </c>
      <c r="K59" s="205"/>
      <c r="L59" s="205"/>
      <c r="M59" s="205">
        <f t="shared" si="58"/>
        <v>200.40943999999999</v>
      </c>
      <c r="N59" s="205">
        <v>200.40943999999999</v>
      </c>
      <c r="O59" s="226"/>
      <c r="P59" s="226"/>
      <c r="Q59" s="226"/>
      <c r="R59" s="226"/>
    </row>
    <row r="60" spans="1:18">
      <c r="A60" s="85"/>
      <c r="B60" s="226" t="s">
        <v>374</v>
      </c>
      <c r="C60" s="205">
        <f t="shared" si="52"/>
        <v>563</v>
      </c>
      <c r="D60" s="205"/>
      <c r="E60" s="205">
        <v>563</v>
      </c>
      <c r="F60" s="205">
        <f t="shared" si="53"/>
        <v>505.24520000000001</v>
      </c>
      <c r="G60" s="219"/>
      <c r="H60" s="205">
        <f t="shared" si="55"/>
        <v>505.24520000000001</v>
      </c>
      <c r="I60" s="205">
        <f t="shared" si="56"/>
        <v>505.24520000000001</v>
      </c>
      <c r="J60" s="219"/>
      <c r="K60" s="205"/>
      <c r="L60" s="205"/>
      <c r="M60" s="205">
        <f t="shared" si="58"/>
        <v>505.24520000000001</v>
      </c>
      <c r="N60" s="205">
        <v>505.24520000000001</v>
      </c>
      <c r="O60" s="226"/>
      <c r="P60" s="226"/>
      <c r="Q60" s="226"/>
      <c r="R60" s="226"/>
    </row>
    <row r="61" spans="1:18">
      <c r="A61" s="85"/>
      <c r="B61" s="226" t="s">
        <v>375</v>
      </c>
      <c r="C61" s="205">
        <f t="shared" si="52"/>
        <v>203</v>
      </c>
      <c r="D61" s="205"/>
      <c r="E61" s="205">
        <f>168+35</f>
        <v>203</v>
      </c>
      <c r="F61" s="205">
        <f t="shared" si="53"/>
        <v>0</v>
      </c>
      <c r="G61" s="219"/>
      <c r="H61" s="205">
        <f t="shared" si="55"/>
        <v>0</v>
      </c>
      <c r="I61" s="205">
        <f t="shared" si="56"/>
        <v>0</v>
      </c>
      <c r="J61" s="219"/>
      <c r="K61" s="205"/>
      <c r="L61" s="205"/>
      <c r="M61" s="205">
        <f t="shared" si="58"/>
        <v>0</v>
      </c>
      <c r="N61" s="205"/>
      <c r="O61" s="226"/>
      <c r="P61" s="226"/>
      <c r="Q61" s="226"/>
      <c r="R61" s="226"/>
    </row>
    <row r="62" spans="1:18">
      <c r="A62" s="199" t="s">
        <v>425</v>
      </c>
      <c r="B62" s="74" t="s">
        <v>150</v>
      </c>
      <c r="C62" s="219">
        <f>SUM(C63:C64)</f>
        <v>550</v>
      </c>
      <c r="D62" s="219">
        <f t="shared" ref="D62:O62" si="59">SUM(D63:D64)</f>
        <v>0</v>
      </c>
      <c r="E62" s="219">
        <f t="shared" si="59"/>
        <v>500</v>
      </c>
      <c r="F62" s="219">
        <f t="shared" si="59"/>
        <v>453.73</v>
      </c>
      <c r="G62" s="219">
        <f t="shared" si="59"/>
        <v>0</v>
      </c>
      <c r="H62" s="219">
        <f t="shared" si="59"/>
        <v>453.73</v>
      </c>
      <c r="I62" s="219">
        <f t="shared" si="59"/>
        <v>453.73</v>
      </c>
      <c r="J62" s="219">
        <f t="shared" si="59"/>
        <v>0</v>
      </c>
      <c r="K62" s="219">
        <f t="shared" si="59"/>
        <v>0</v>
      </c>
      <c r="L62" s="219">
        <f t="shared" si="59"/>
        <v>0</v>
      </c>
      <c r="M62" s="219">
        <f t="shared" si="59"/>
        <v>453.73</v>
      </c>
      <c r="N62" s="219">
        <f t="shared" si="59"/>
        <v>453.73</v>
      </c>
      <c r="O62" s="201">
        <f t="shared" si="59"/>
        <v>0</v>
      </c>
      <c r="P62" s="201">
        <f t="shared" ref="P62:P63" si="60">F62/C62*100</f>
        <v>82.49636363636364</v>
      </c>
      <c r="Q62" s="201"/>
      <c r="R62" s="201">
        <f t="shared" ref="R62:R63" si="61">H62/E62*100</f>
        <v>90.746000000000009</v>
      </c>
    </row>
    <row r="63" spans="1:18" ht="31.5">
      <c r="A63" s="225"/>
      <c r="B63" s="73" t="s">
        <v>371</v>
      </c>
      <c r="C63" s="205">
        <f t="shared" ref="C63" si="62">D63+E63</f>
        <v>500</v>
      </c>
      <c r="D63" s="219"/>
      <c r="E63" s="205">
        <v>500</v>
      </c>
      <c r="F63" s="205">
        <f t="shared" ref="F63:F64" si="63">G63+H63</f>
        <v>453.73</v>
      </c>
      <c r="G63" s="219">
        <f t="shared" ref="G63:G64" si="64">J63</f>
        <v>0</v>
      </c>
      <c r="H63" s="205">
        <f t="shared" ref="H63:H64" si="65">M63</f>
        <v>453.73</v>
      </c>
      <c r="I63" s="205">
        <f t="shared" ref="I63:I64" si="66">J63+M63</f>
        <v>453.73</v>
      </c>
      <c r="J63" s="219">
        <f t="shared" ref="J63:J64" si="67">SUM(K63:L63)</f>
        <v>0</v>
      </c>
      <c r="K63" s="219"/>
      <c r="L63" s="219"/>
      <c r="M63" s="205">
        <f t="shared" ref="M63:M64" si="68">N63+O63</f>
        <v>453.73</v>
      </c>
      <c r="N63" s="205">
        <v>453.73</v>
      </c>
      <c r="O63" s="206"/>
      <c r="P63" s="206">
        <f t="shared" si="60"/>
        <v>90.746000000000009</v>
      </c>
      <c r="Q63" s="201"/>
      <c r="R63" s="206">
        <f t="shared" si="61"/>
        <v>90.746000000000009</v>
      </c>
    </row>
    <row r="64" spans="1:18">
      <c r="A64" s="85"/>
      <c r="B64" s="226" t="s">
        <v>375</v>
      </c>
      <c r="C64" s="205">
        <v>50</v>
      </c>
      <c r="D64" s="205"/>
      <c r="E64" s="205"/>
      <c r="F64" s="205">
        <f t="shared" si="63"/>
        <v>0</v>
      </c>
      <c r="G64" s="219">
        <f t="shared" si="64"/>
        <v>0</v>
      </c>
      <c r="H64" s="205">
        <f t="shared" si="65"/>
        <v>0</v>
      </c>
      <c r="I64" s="205">
        <f t="shared" si="66"/>
        <v>0</v>
      </c>
      <c r="J64" s="219">
        <f t="shared" si="67"/>
        <v>0</v>
      </c>
      <c r="K64" s="205"/>
      <c r="L64" s="205"/>
      <c r="M64" s="205">
        <f t="shared" si="68"/>
        <v>0</v>
      </c>
      <c r="N64" s="205"/>
      <c r="O64" s="226"/>
      <c r="P64" s="226"/>
      <c r="Q64" s="226"/>
      <c r="R64" s="226"/>
    </row>
    <row r="65" spans="1:18">
      <c r="A65" s="199" t="s">
        <v>426</v>
      </c>
      <c r="B65" s="74" t="s">
        <v>427</v>
      </c>
      <c r="C65" s="219">
        <f>C66</f>
        <v>207</v>
      </c>
      <c r="D65" s="219">
        <f t="shared" ref="D65:O65" si="69">D66</f>
        <v>0</v>
      </c>
      <c r="E65" s="219">
        <f t="shared" si="69"/>
        <v>207</v>
      </c>
      <c r="F65" s="219">
        <f t="shared" si="69"/>
        <v>206.6524</v>
      </c>
      <c r="G65" s="219">
        <f t="shared" si="69"/>
        <v>0</v>
      </c>
      <c r="H65" s="219">
        <f t="shared" si="69"/>
        <v>206.6524</v>
      </c>
      <c r="I65" s="219">
        <f t="shared" si="69"/>
        <v>206.6524</v>
      </c>
      <c r="J65" s="219">
        <f t="shared" si="69"/>
        <v>0</v>
      </c>
      <c r="K65" s="219">
        <f t="shared" si="69"/>
        <v>0</v>
      </c>
      <c r="L65" s="219">
        <f t="shared" si="69"/>
        <v>0</v>
      </c>
      <c r="M65" s="219">
        <f t="shared" si="69"/>
        <v>206.6524</v>
      </c>
      <c r="N65" s="219">
        <f t="shared" si="69"/>
        <v>206.6524</v>
      </c>
      <c r="O65" s="201">
        <f t="shared" si="69"/>
        <v>0</v>
      </c>
      <c r="P65" s="201">
        <f t="shared" ref="P65:P87" si="70">F65/C65*100</f>
        <v>99.832077294686002</v>
      </c>
      <c r="Q65" s="201"/>
      <c r="R65" s="201">
        <f t="shared" ref="R65:R87" si="71">H65/E65*100</f>
        <v>99.832077294686002</v>
      </c>
    </row>
    <row r="66" spans="1:18">
      <c r="A66" s="225"/>
      <c r="B66" s="73" t="s">
        <v>428</v>
      </c>
      <c r="C66" s="205">
        <f t="shared" ref="C66" si="72">D66+E66</f>
        <v>207</v>
      </c>
      <c r="D66" s="219"/>
      <c r="E66" s="205">
        <v>207</v>
      </c>
      <c r="F66" s="205">
        <f t="shared" ref="F66" si="73">G66+H66</f>
        <v>206.6524</v>
      </c>
      <c r="G66" s="219">
        <f t="shared" ref="G66" si="74">J66</f>
        <v>0</v>
      </c>
      <c r="H66" s="205">
        <f t="shared" ref="H66" si="75">M66</f>
        <v>206.6524</v>
      </c>
      <c r="I66" s="205">
        <f t="shared" ref="I66" si="76">J66+M66</f>
        <v>206.6524</v>
      </c>
      <c r="J66" s="219">
        <f t="shared" ref="J66" si="77">SUM(K66:L66)</f>
        <v>0</v>
      </c>
      <c r="K66" s="219"/>
      <c r="L66" s="219"/>
      <c r="M66" s="205">
        <f t="shared" ref="M66" si="78">N66+O66</f>
        <v>206.6524</v>
      </c>
      <c r="N66" s="205">
        <v>206.6524</v>
      </c>
      <c r="O66" s="206"/>
      <c r="P66" s="206">
        <f t="shared" si="70"/>
        <v>99.832077294686002</v>
      </c>
      <c r="Q66" s="201"/>
      <c r="R66" s="206">
        <f t="shared" si="71"/>
        <v>99.832077294686002</v>
      </c>
    </row>
    <row r="67" spans="1:18">
      <c r="A67" s="199" t="s">
        <v>21</v>
      </c>
      <c r="B67" s="76" t="s">
        <v>205</v>
      </c>
      <c r="C67" s="219">
        <f>C68</f>
        <v>13146</v>
      </c>
      <c r="D67" s="219">
        <f t="shared" ref="D67:O68" si="79">D68</f>
        <v>0</v>
      </c>
      <c r="E67" s="219">
        <f t="shared" si="79"/>
        <v>13146</v>
      </c>
      <c r="F67" s="219">
        <f t="shared" si="79"/>
        <v>12983.537400000001</v>
      </c>
      <c r="G67" s="219">
        <f t="shared" si="79"/>
        <v>0</v>
      </c>
      <c r="H67" s="219">
        <f t="shared" si="79"/>
        <v>12983.537400000001</v>
      </c>
      <c r="I67" s="219">
        <f t="shared" si="79"/>
        <v>12983.537400000001</v>
      </c>
      <c r="J67" s="219">
        <f t="shared" si="79"/>
        <v>0</v>
      </c>
      <c r="K67" s="219">
        <f t="shared" si="79"/>
        <v>0</v>
      </c>
      <c r="L67" s="219">
        <f t="shared" si="79"/>
        <v>0</v>
      </c>
      <c r="M67" s="219">
        <f t="shared" si="79"/>
        <v>12983.537400000001</v>
      </c>
      <c r="N67" s="219">
        <f t="shared" si="79"/>
        <v>12983.537400000001</v>
      </c>
      <c r="O67" s="201">
        <f t="shared" si="79"/>
        <v>0</v>
      </c>
      <c r="P67" s="201">
        <f t="shared" si="70"/>
        <v>98.764167047010503</v>
      </c>
      <c r="Q67" s="201"/>
      <c r="R67" s="201">
        <f t="shared" si="71"/>
        <v>98.764167047010503</v>
      </c>
    </row>
    <row r="68" spans="1:18" ht="31.5">
      <c r="A68" s="199">
        <v>1</v>
      </c>
      <c r="B68" s="74" t="s">
        <v>368</v>
      </c>
      <c r="C68" s="219">
        <f>C69</f>
        <v>13146</v>
      </c>
      <c r="D68" s="219">
        <f t="shared" si="79"/>
        <v>0</v>
      </c>
      <c r="E68" s="219">
        <f t="shared" si="79"/>
        <v>13146</v>
      </c>
      <c r="F68" s="219">
        <f t="shared" si="79"/>
        <v>12983.537400000001</v>
      </c>
      <c r="G68" s="219">
        <f t="shared" si="79"/>
        <v>0</v>
      </c>
      <c r="H68" s="219">
        <f t="shared" si="79"/>
        <v>12983.537400000001</v>
      </c>
      <c r="I68" s="219">
        <f t="shared" si="79"/>
        <v>12983.537400000001</v>
      </c>
      <c r="J68" s="219">
        <f t="shared" si="79"/>
        <v>0</v>
      </c>
      <c r="K68" s="219">
        <f t="shared" si="79"/>
        <v>0</v>
      </c>
      <c r="L68" s="219">
        <f t="shared" si="79"/>
        <v>0</v>
      </c>
      <c r="M68" s="219">
        <f t="shared" si="79"/>
        <v>12983.537400000001</v>
      </c>
      <c r="N68" s="219">
        <f t="shared" si="79"/>
        <v>12983.537400000001</v>
      </c>
      <c r="O68" s="201">
        <f t="shared" si="79"/>
        <v>0</v>
      </c>
      <c r="P68" s="201">
        <f t="shared" si="70"/>
        <v>98.764167047010503</v>
      </c>
      <c r="Q68" s="201"/>
      <c r="R68" s="201">
        <f t="shared" si="71"/>
        <v>98.764167047010503</v>
      </c>
    </row>
    <row r="69" spans="1:18">
      <c r="A69" s="199" t="s">
        <v>104</v>
      </c>
      <c r="B69" s="74" t="s">
        <v>369</v>
      </c>
      <c r="C69" s="219">
        <f>C70+C73+C77+C81+C85+C89+C92+C95+C98+C101+C104+C108+C111+C114+C117</f>
        <v>13146</v>
      </c>
      <c r="D69" s="219">
        <f t="shared" ref="D69:O69" si="80">D70+D73+D77+D81+D85+D89+D92+D95+D98+D101+D104+D108+D111+D114++D117</f>
        <v>0</v>
      </c>
      <c r="E69" s="219">
        <f t="shared" si="80"/>
        <v>13146</v>
      </c>
      <c r="F69" s="219">
        <f t="shared" si="80"/>
        <v>12983.537400000001</v>
      </c>
      <c r="G69" s="219">
        <f t="shared" si="80"/>
        <v>0</v>
      </c>
      <c r="H69" s="219">
        <f t="shared" si="80"/>
        <v>12983.537400000001</v>
      </c>
      <c r="I69" s="219">
        <f t="shared" si="80"/>
        <v>12983.537400000001</v>
      </c>
      <c r="J69" s="219">
        <f t="shared" si="80"/>
        <v>0</v>
      </c>
      <c r="K69" s="219">
        <f t="shared" si="80"/>
        <v>0</v>
      </c>
      <c r="L69" s="219">
        <f t="shared" si="80"/>
        <v>0</v>
      </c>
      <c r="M69" s="219">
        <f t="shared" si="80"/>
        <v>12983.537400000001</v>
      </c>
      <c r="N69" s="219">
        <f t="shared" si="80"/>
        <v>12983.537400000001</v>
      </c>
      <c r="O69" s="201">
        <f t="shared" si="80"/>
        <v>0</v>
      </c>
      <c r="P69" s="201">
        <f t="shared" si="70"/>
        <v>98.764167047010503</v>
      </c>
      <c r="Q69" s="201"/>
      <c r="R69" s="201">
        <f t="shared" si="71"/>
        <v>98.764167047010503</v>
      </c>
    </row>
    <row r="70" spans="1:18">
      <c r="A70" s="199" t="s">
        <v>377</v>
      </c>
      <c r="B70" s="74" t="s">
        <v>214</v>
      </c>
      <c r="C70" s="219">
        <f>C71+C72</f>
        <v>1018</v>
      </c>
      <c r="D70" s="219">
        <f t="shared" ref="D70:O70" si="81">D71+D72</f>
        <v>0</v>
      </c>
      <c r="E70" s="219">
        <f t="shared" si="81"/>
        <v>1018</v>
      </c>
      <c r="F70" s="219">
        <f t="shared" si="81"/>
        <v>1010.92</v>
      </c>
      <c r="G70" s="219">
        <f t="shared" si="81"/>
        <v>0</v>
      </c>
      <c r="H70" s="219">
        <f t="shared" si="81"/>
        <v>1010.92</v>
      </c>
      <c r="I70" s="219">
        <f t="shared" si="81"/>
        <v>1010.92</v>
      </c>
      <c r="J70" s="219">
        <f t="shared" si="81"/>
        <v>0</v>
      </c>
      <c r="K70" s="219">
        <f t="shared" si="81"/>
        <v>0</v>
      </c>
      <c r="L70" s="219">
        <f t="shared" si="81"/>
        <v>0</v>
      </c>
      <c r="M70" s="219">
        <f t="shared" si="81"/>
        <v>1010.92</v>
      </c>
      <c r="N70" s="219">
        <f t="shared" si="81"/>
        <v>1010.92</v>
      </c>
      <c r="O70" s="201">
        <f t="shared" si="81"/>
        <v>0</v>
      </c>
      <c r="P70" s="201">
        <f t="shared" si="70"/>
        <v>99.304518664047151</v>
      </c>
      <c r="Q70" s="201"/>
      <c r="R70" s="201">
        <f t="shared" si="71"/>
        <v>99.304518664047151</v>
      </c>
    </row>
    <row r="71" spans="1:18" ht="31.5">
      <c r="A71" s="225"/>
      <c r="B71" s="73" t="s">
        <v>378</v>
      </c>
      <c r="C71" s="205">
        <f t="shared" ref="C71:C72" si="82">D71+E71</f>
        <v>1000</v>
      </c>
      <c r="D71" s="219"/>
      <c r="E71" s="205">
        <v>1000</v>
      </c>
      <c r="F71" s="205">
        <f t="shared" ref="F71:F72" si="83">G71+H71</f>
        <v>992.92</v>
      </c>
      <c r="G71" s="219">
        <f t="shared" ref="G71:G72" si="84">J71</f>
        <v>0</v>
      </c>
      <c r="H71" s="205">
        <f t="shared" ref="H71:H72" si="85">M71</f>
        <v>992.92</v>
      </c>
      <c r="I71" s="205">
        <f t="shared" ref="I71:I80" si="86">J71+M71</f>
        <v>992.92</v>
      </c>
      <c r="J71" s="219">
        <f t="shared" ref="J71:J80" si="87">SUM(K71:L71)</f>
        <v>0</v>
      </c>
      <c r="K71" s="219"/>
      <c r="L71" s="219"/>
      <c r="M71" s="205">
        <f t="shared" ref="M71:M80" si="88">N71+O71</f>
        <v>992.92</v>
      </c>
      <c r="N71" s="205">
        <v>992.92</v>
      </c>
      <c r="O71" s="206"/>
      <c r="P71" s="206">
        <f t="shared" si="70"/>
        <v>99.291999999999987</v>
      </c>
      <c r="Q71" s="201"/>
      <c r="R71" s="206">
        <f t="shared" si="71"/>
        <v>99.291999999999987</v>
      </c>
    </row>
    <row r="72" spans="1:18">
      <c r="A72" s="225"/>
      <c r="B72" s="73" t="s">
        <v>375</v>
      </c>
      <c r="C72" s="205">
        <f t="shared" si="82"/>
        <v>18</v>
      </c>
      <c r="D72" s="219"/>
      <c r="E72" s="205">
        <v>18</v>
      </c>
      <c r="F72" s="205">
        <f t="shared" si="83"/>
        <v>18</v>
      </c>
      <c r="G72" s="219">
        <f t="shared" si="84"/>
        <v>0</v>
      </c>
      <c r="H72" s="205">
        <f t="shared" si="85"/>
        <v>18</v>
      </c>
      <c r="I72" s="205">
        <f t="shared" si="86"/>
        <v>18</v>
      </c>
      <c r="J72" s="219">
        <f t="shared" si="87"/>
        <v>0</v>
      </c>
      <c r="K72" s="219"/>
      <c r="L72" s="219"/>
      <c r="M72" s="205">
        <f t="shared" si="88"/>
        <v>18</v>
      </c>
      <c r="N72" s="205">
        <v>18</v>
      </c>
      <c r="O72" s="206"/>
      <c r="P72" s="206"/>
      <c r="Q72" s="201"/>
      <c r="R72" s="206"/>
    </row>
    <row r="73" spans="1:18">
      <c r="A73" s="199" t="s">
        <v>379</v>
      </c>
      <c r="B73" s="74" t="s">
        <v>220</v>
      </c>
      <c r="C73" s="219">
        <f>SUM(C74:C76)</f>
        <v>1963</v>
      </c>
      <c r="D73" s="219">
        <f t="shared" ref="D73:O73" si="89">SUM(D74:D76)</f>
        <v>0</v>
      </c>
      <c r="E73" s="219">
        <f t="shared" si="89"/>
        <v>1963</v>
      </c>
      <c r="F73" s="219">
        <f t="shared" si="89"/>
        <v>1939.5140000000001</v>
      </c>
      <c r="G73" s="219">
        <f t="shared" si="89"/>
        <v>0</v>
      </c>
      <c r="H73" s="219">
        <f t="shared" si="89"/>
        <v>1939.5140000000001</v>
      </c>
      <c r="I73" s="219">
        <f t="shared" si="89"/>
        <v>1939.5140000000001</v>
      </c>
      <c r="J73" s="219">
        <f t="shared" si="89"/>
        <v>0</v>
      </c>
      <c r="K73" s="219">
        <f t="shared" si="89"/>
        <v>0</v>
      </c>
      <c r="L73" s="219">
        <f t="shared" si="89"/>
        <v>0</v>
      </c>
      <c r="M73" s="219">
        <f t="shared" si="89"/>
        <v>1939.5140000000001</v>
      </c>
      <c r="N73" s="219">
        <f t="shared" si="89"/>
        <v>1939.5140000000001</v>
      </c>
      <c r="O73" s="201">
        <f t="shared" si="89"/>
        <v>0</v>
      </c>
      <c r="P73" s="201">
        <f t="shared" si="70"/>
        <v>98.803565970453391</v>
      </c>
      <c r="Q73" s="201"/>
      <c r="R73" s="201">
        <f t="shared" si="71"/>
        <v>98.803565970453391</v>
      </c>
    </row>
    <row r="74" spans="1:18" ht="31.5">
      <c r="A74" s="225"/>
      <c r="B74" s="73" t="s">
        <v>378</v>
      </c>
      <c r="C74" s="205">
        <f t="shared" ref="C74:C76" si="90">D74+E74</f>
        <v>1530</v>
      </c>
      <c r="D74" s="219"/>
      <c r="E74" s="205">
        <v>1530</v>
      </c>
      <c r="F74" s="205">
        <f t="shared" ref="F74:F76" si="91">G74+H74</f>
        <v>1511.124</v>
      </c>
      <c r="G74" s="219">
        <f t="shared" ref="G74:G76" si="92">J74</f>
        <v>0</v>
      </c>
      <c r="H74" s="205">
        <f t="shared" ref="H74:H76" si="93">M74</f>
        <v>1511.124</v>
      </c>
      <c r="I74" s="205">
        <f t="shared" si="86"/>
        <v>1511.124</v>
      </c>
      <c r="J74" s="219">
        <f t="shared" si="87"/>
        <v>0</v>
      </c>
      <c r="K74" s="219"/>
      <c r="L74" s="219"/>
      <c r="M74" s="205">
        <f t="shared" si="88"/>
        <v>1511.124</v>
      </c>
      <c r="N74" s="205">
        <v>1511.124</v>
      </c>
      <c r="O74" s="206"/>
      <c r="P74" s="206">
        <f t="shared" si="70"/>
        <v>98.766274509803921</v>
      </c>
      <c r="Q74" s="201"/>
      <c r="R74" s="206">
        <f t="shared" si="71"/>
        <v>98.766274509803921</v>
      </c>
    </row>
    <row r="75" spans="1:18" ht="31.5">
      <c r="A75" s="225"/>
      <c r="B75" s="73" t="s">
        <v>429</v>
      </c>
      <c r="C75" s="205">
        <f t="shared" si="90"/>
        <v>410</v>
      </c>
      <c r="D75" s="219"/>
      <c r="E75" s="205">
        <v>410</v>
      </c>
      <c r="F75" s="205">
        <f t="shared" si="91"/>
        <v>405.39</v>
      </c>
      <c r="G75" s="219">
        <f t="shared" si="92"/>
        <v>0</v>
      </c>
      <c r="H75" s="205">
        <f t="shared" si="93"/>
        <v>405.39</v>
      </c>
      <c r="I75" s="205">
        <f t="shared" si="86"/>
        <v>405.39</v>
      </c>
      <c r="J75" s="219">
        <f t="shared" si="87"/>
        <v>0</v>
      </c>
      <c r="K75" s="219"/>
      <c r="L75" s="219"/>
      <c r="M75" s="205">
        <f t="shared" si="88"/>
        <v>405.39</v>
      </c>
      <c r="N75" s="205">
        <v>405.39</v>
      </c>
      <c r="O75" s="206"/>
      <c r="P75" s="206">
        <f t="shared" si="70"/>
        <v>98.87560975609756</v>
      </c>
      <c r="Q75" s="201"/>
      <c r="R75" s="206">
        <f t="shared" si="71"/>
        <v>98.87560975609756</v>
      </c>
    </row>
    <row r="76" spans="1:18">
      <c r="A76" s="225"/>
      <c r="B76" s="73" t="s">
        <v>375</v>
      </c>
      <c r="C76" s="205">
        <f t="shared" si="90"/>
        <v>23</v>
      </c>
      <c r="D76" s="219"/>
      <c r="E76" s="205">
        <v>23</v>
      </c>
      <c r="F76" s="205">
        <f t="shared" si="91"/>
        <v>23</v>
      </c>
      <c r="G76" s="219">
        <f t="shared" si="92"/>
        <v>0</v>
      </c>
      <c r="H76" s="205">
        <f t="shared" si="93"/>
        <v>23</v>
      </c>
      <c r="I76" s="205">
        <f t="shared" si="86"/>
        <v>23</v>
      </c>
      <c r="J76" s="219">
        <f t="shared" ref="J76" si="94">SUM(K76:L76)</f>
        <v>0</v>
      </c>
      <c r="K76" s="219"/>
      <c r="L76" s="219"/>
      <c r="M76" s="205">
        <f t="shared" si="88"/>
        <v>23</v>
      </c>
      <c r="N76" s="205">
        <v>23</v>
      </c>
      <c r="O76" s="206"/>
      <c r="P76" s="206"/>
      <c r="Q76" s="201"/>
      <c r="R76" s="206"/>
    </row>
    <row r="77" spans="1:18">
      <c r="A77" s="199" t="s">
        <v>380</v>
      </c>
      <c r="B77" s="74" t="s">
        <v>381</v>
      </c>
      <c r="C77" s="219">
        <f>SUM(C78:C80)</f>
        <v>1355</v>
      </c>
      <c r="D77" s="219">
        <f t="shared" ref="D77:O77" si="95">SUM(D78:D80)</f>
        <v>0</v>
      </c>
      <c r="E77" s="219">
        <f t="shared" si="95"/>
        <v>1355</v>
      </c>
      <c r="F77" s="219">
        <f t="shared" si="95"/>
        <v>1341.519</v>
      </c>
      <c r="G77" s="219">
        <f t="shared" si="95"/>
        <v>0</v>
      </c>
      <c r="H77" s="219">
        <f t="shared" si="95"/>
        <v>1341.519</v>
      </c>
      <c r="I77" s="219">
        <f t="shared" si="95"/>
        <v>1341.519</v>
      </c>
      <c r="J77" s="219">
        <f t="shared" si="95"/>
        <v>0</v>
      </c>
      <c r="K77" s="219">
        <f t="shared" si="95"/>
        <v>0</v>
      </c>
      <c r="L77" s="219">
        <f t="shared" si="95"/>
        <v>0</v>
      </c>
      <c r="M77" s="219">
        <f t="shared" si="95"/>
        <v>1341.519</v>
      </c>
      <c r="N77" s="219">
        <f t="shared" si="95"/>
        <v>1341.519</v>
      </c>
      <c r="O77" s="201">
        <f t="shared" si="95"/>
        <v>0</v>
      </c>
      <c r="P77" s="201">
        <f t="shared" si="70"/>
        <v>99.005092250922516</v>
      </c>
      <c r="Q77" s="201"/>
      <c r="R77" s="201">
        <f t="shared" si="71"/>
        <v>99.005092250922516</v>
      </c>
    </row>
    <row r="78" spans="1:18" ht="31.5">
      <c r="A78" s="225"/>
      <c r="B78" s="73" t="s">
        <v>378</v>
      </c>
      <c r="C78" s="205">
        <f t="shared" ref="C78:C80" si="96">D78+E78</f>
        <v>800</v>
      </c>
      <c r="D78" s="219"/>
      <c r="E78" s="205">
        <v>800</v>
      </c>
      <c r="F78" s="205">
        <f t="shared" ref="F78:F80" si="97">G78+H78</f>
        <v>791.75900000000001</v>
      </c>
      <c r="G78" s="219">
        <f t="shared" ref="G78:G80" si="98">J78</f>
        <v>0</v>
      </c>
      <c r="H78" s="205">
        <f t="shared" ref="H78:H80" si="99">M78</f>
        <v>791.75900000000001</v>
      </c>
      <c r="I78" s="205">
        <f t="shared" si="86"/>
        <v>791.75900000000001</v>
      </c>
      <c r="J78" s="219">
        <f t="shared" si="87"/>
        <v>0</v>
      </c>
      <c r="K78" s="219"/>
      <c r="L78" s="219"/>
      <c r="M78" s="205">
        <f t="shared" si="88"/>
        <v>791.75900000000001</v>
      </c>
      <c r="N78" s="205">
        <v>791.75900000000001</v>
      </c>
      <c r="O78" s="206"/>
      <c r="P78" s="206">
        <f t="shared" si="70"/>
        <v>98.969875000000002</v>
      </c>
      <c r="Q78" s="201"/>
      <c r="R78" s="206">
        <f t="shared" si="71"/>
        <v>98.969875000000002</v>
      </c>
    </row>
    <row r="79" spans="1:18" ht="31.5">
      <c r="A79" s="225"/>
      <c r="B79" s="73" t="s">
        <v>429</v>
      </c>
      <c r="C79" s="205">
        <f t="shared" si="96"/>
        <v>532</v>
      </c>
      <c r="D79" s="219"/>
      <c r="E79" s="205">
        <f>210+322</f>
        <v>532</v>
      </c>
      <c r="F79" s="205">
        <f t="shared" si="97"/>
        <v>526.76</v>
      </c>
      <c r="G79" s="219">
        <f t="shared" si="98"/>
        <v>0</v>
      </c>
      <c r="H79" s="205">
        <f t="shared" si="99"/>
        <v>526.76</v>
      </c>
      <c r="I79" s="205">
        <f t="shared" si="86"/>
        <v>526.76</v>
      </c>
      <c r="J79" s="219">
        <f t="shared" si="87"/>
        <v>0</v>
      </c>
      <c r="K79" s="219"/>
      <c r="L79" s="219"/>
      <c r="M79" s="205">
        <f t="shared" si="88"/>
        <v>526.76</v>
      </c>
      <c r="N79" s="205">
        <v>526.76</v>
      </c>
      <c r="O79" s="206"/>
      <c r="P79" s="206">
        <f t="shared" si="70"/>
        <v>99.015037593984957</v>
      </c>
      <c r="Q79" s="201"/>
      <c r="R79" s="206">
        <f t="shared" si="71"/>
        <v>99.015037593984957</v>
      </c>
    </row>
    <row r="80" spans="1:18">
      <c r="A80" s="225"/>
      <c r="B80" s="73" t="s">
        <v>375</v>
      </c>
      <c r="C80" s="205">
        <f t="shared" si="96"/>
        <v>23</v>
      </c>
      <c r="D80" s="219"/>
      <c r="E80" s="205">
        <v>23</v>
      </c>
      <c r="F80" s="205">
        <f t="shared" si="97"/>
        <v>23</v>
      </c>
      <c r="G80" s="219">
        <f t="shared" si="98"/>
        <v>0</v>
      </c>
      <c r="H80" s="205">
        <f t="shared" si="99"/>
        <v>23</v>
      </c>
      <c r="I80" s="205">
        <f t="shared" si="86"/>
        <v>23</v>
      </c>
      <c r="J80" s="219">
        <f t="shared" si="87"/>
        <v>0</v>
      </c>
      <c r="K80" s="219"/>
      <c r="L80" s="219"/>
      <c r="M80" s="205">
        <f t="shared" si="88"/>
        <v>23</v>
      </c>
      <c r="N80" s="205">
        <v>23</v>
      </c>
      <c r="O80" s="206"/>
      <c r="P80" s="206"/>
      <c r="Q80" s="201"/>
      <c r="R80" s="206"/>
    </row>
    <row r="81" spans="1:18">
      <c r="A81" s="199" t="s">
        <v>382</v>
      </c>
      <c r="B81" s="74" t="s">
        <v>213</v>
      </c>
      <c r="C81" s="219">
        <f>SUM(C82:C84)</f>
        <v>2225</v>
      </c>
      <c r="D81" s="219">
        <f t="shared" ref="D81:O81" si="100">SUM(D82:D84)</f>
        <v>0</v>
      </c>
      <c r="E81" s="219">
        <f t="shared" si="100"/>
        <v>2225</v>
      </c>
      <c r="F81" s="219">
        <f t="shared" si="100"/>
        <v>2186.239</v>
      </c>
      <c r="G81" s="219">
        <f t="shared" si="100"/>
        <v>0</v>
      </c>
      <c r="H81" s="219">
        <f t="shared" si="100"/>
        <v>2186.239</v>
      </c>
      <c r="I81" s="219">
        <f t="shared" si="100"/>
        <v>2186.239</v>
      </c>
      <c r="J81" s="219">
        <f t="shared" si="100"/>
        <v>0</v>
      </c>
      <c r="K81" s="219">
        <f t="shared" si="100"/>
        <v>0</v>
      </c>
      <c r="L81" s="219">
        <f t="shared" si="100"/>
        <v>0</v>
      </c>
      <c r="M81" s="219">
        <f t="shared" si="100"/>
        <v>2186.239</v>
      </c>
      <c r="N81" s="219">
        <f t="shared" si="100"/>
        <v>2186.239</v>
      </c>
      <c r="O81" s="201">
        <f t="shared" si="100"/>
        <v>0</v>
      </c>
      <c r="P81" s="201">
        <f t="shared" si="70"/>
        <v>98.257932584269668</v>
      </c>
      <c r="Q81" s="201"/>
      <c r="R81" s="201">
        <f t="shared" si="71"/>
        <v>98.257932584269668</v>
      </c>
    </row>
    <row r="82" spans="1:18" ht="31.5">
      <c r="A82" s="225"/>
      <c r="B82" s="73" t="s">
        <v>378</v>
      </c>
      <c r="C82" s="205">
        <f t="shared" ref="C82:C84" si="101">D82+E82</f>
        <v>440</v>
      </c>
      <c r="D82" s="219"/>
      <c r="E82" s="205">
        <v>440</v>
      </c>
      <c r="F82" s="205">
        <f t="shared" ref="F82:F84" si="102">G82+H82</f>
        <v>431.84100000000001</v>
      </c>
      <c r="G82" s="219">
        <f t="shared" ref="G82:G84" si="103">J82</f>
        <v>0</v>
      </c>
      <c r="H82" s="205">
        <f t="shared" ref="H82:H84" si="104">M82</f>
        <v>431.84100000000001</v>
      </c>
      <c r="I82" s="205">
        <f t="shared" ref="I82:I84" si="105">J82+M82</f>
        <v>431.84100000000001</v>
      </c>
      <c r="J82" s="219">
        <f t="shared" ref="J82:J83" si="106">SUM(K82:L82)</f>
        <v>0</v>
      </c>
      <c r="K82" s="219"/>
      <c r="L82" s="219"/>
      <c r="M82" s="205">
        <f t="shared" ref="M82:M84" si="107">N82+O82</f>
        <v>431.84100000000001</v>
      </c>
      <c r="N82" s="205">
        <v>431.84100000000001</v>
      </c>
      <c r="O82" s="206"/>
      <c r="P82" s="206">
        <f t="shared" si="70"/>
        <v>98.145681818181814</v>
      </c>
      <c r="Q82" s="201"/>
      <c r="R82" s="206">
        <f t="shared" si="71"/>
        <v>98.145681818181814</v>
      </c>
    </row>
    <row r="83" spans="1:18" ht="31.5">
      <c r="A83" s="225"/>
      <c r="B83" s="73" t="s">
        <v>429</v>
      </c>
      <c r="C83" s="205">
        <f t="shared" si="101"/>
        <v>1773</v>
      </c>
      <c r="D83" s="219"/>
      <c r="E83" s="205">
        <f>400+1373</f>
        <v>1773</v>
      </c>
      <c r="F83" s="205">
        <f t="shared" si="102"/>
        <v>1742.3979999999999</v>
      </c>
      <c r="G83" s="219">
        <f t="shared" si="103"/>
        <v>0</v>
      </c>
      <c r="H83" s="205">
        <f t="shared" si="104"/>
        <v>1742.3979999999999</v>
      </c>
      <c r="I83" s="205">
        <f t="shared" si="105"/>
        <v>1742.3979999999999</v>
      </c>
      <c r="J83" s="219">
        <f t="shared" si="106"/>
        <v>0</v>
      </c>
      <c r="K83" s="219"/>
      <c r="L83" s="219"/>
      <c r="M83" s="205">
        <f t="shared" si="107"/>
        <v>1742.3979999999999</v>
      </c>
      <c r="N83" s="205">
        <v>1742.3979999999999</v>
      </c>
      <c r="O83" s="206"/>
      <c r="P83" s="206">
        <f t="shared" si="70"/>
        <v>98.273998871968416</v>
      </c>
      <c r="Q83" s="201"/>
      <c r="R83" s="206">
        <f t="shared" si="71"/>
        <v>98.273998871968416</v>
      </c>
    </row>
    <row r="84" spans="1:18">
      <c r="A84" s="225"/>
      <c r="B84" s="73" t="s">
        <v>375</v>
      </c>
      <c r="C84" s="205">
        <f t="shared" si="101"/>
        <v>12</v>
      </c>
      <c r="D84" s="219"/>
      <c r="E84" s="205">
        <v>12</v>
      </c>
      <c r="F84" s="205">
        <f t="shared" si="102"/>
        <v>12</v>
      </c>
      <c r="G84" s="219">
        <f t="shared" si="103"/>
        <v>0</v>
      </c>
      <c r="H84" s="205">
        <f t="shared" si="104"/>
        <v>12</v>
      </c>
      <c r="I84" s="205">
        <f t="shared" si="105"/>
        <v>12</v>
      </c>
      <c r="J84" s="219">
        <f t="shared" ref="J84" si="108">SUM(K84:L84)</f>
        <v>0</v>
      </c>
      <c r="K84" s="219"/>
      <c r="L84" s="219"/>
      <c r="M84" s="205">
        <f t="shared" si="107"/>
        <v>12</v>
      </c>
      <c r="N84" s="205">
        <v>12</v>
      </c>
      <c r="O84" s="206"/>
      <c r="P84" s="206"/>
      <c r="Q84" s="201"/>
      <c r="R84" s="206"/>
    </row>
    <row r="85" spans="1:18">
      <c r="A85" s="199" t="s">
        <v>383</v>
      </c>
      <c r="B85" s="74" t="s">
        <v>209</v>
      </c>
      <c r="C85" s="219">
        <f>SUM(C86:C88)</f>
        <v>1218</v>
      </c>
      <c r="D85" s="219">
        <f t="shared" ref="D85:O85" si="109">SUM(D86:D88)</f>
        <v>0</v>
      </c>
      <c r="E85" s="219">
        <f t="shared" si="109"/>
        <v>1218</v>
      </c>
      <c r="F85" s="219">
        <f t="shared" si="109"/>
        <v>1199.9322</v>
      </c>
      <c r="G85" s="219">
        <f t="shared" si="109"/>
        <v>0</v>
      </c>
      <c r="H85" s="219">
        <f t="shared" si="109"/>
        <v>1199.9322</v>
      </c>
      <c r="I85" s="219">
        <f t="shared" si="109"/>
        <v>1199.9322</v>
      </c>
      <c r="J85" s="219">
        <f t="shared" si="109"/>
        <v>0</v>
      </c>
      <c r="K85" s="219">
        <f t="shared" si="109"/>
        <v>0</v>
      </c>
      <c r="L85" s="219">
        <f t="shared" si="109"/>
        <v>0</v>
      </c>
      <c r="M85" s="219">
        <f t="shared" si="109"/>
        <v>1199.9322</v>
      </c>
      <c r="N85" s="219">
        <f t="shared" si="109"/>
        <v>1199.9322</v>
      </c>
      <c r="O85" s="201">
        <f t="shared" si="109"/>
        <v>0</v>
      </c>
      <c r="P85" s="201">
        <f t="shared" si="70"/>
        <v>98.516600985221672</v>
      </c>
      <c r="Q85" s="201"/>
      <c r="R85" s="201">
        <f t="shared" si="71"/>
        <v>98.516600985221672</v>
      </c>
    </row>
    <row r="86" spans="1:18" ht="31.5">
      <c r="A86" s="225"/>
      <c r="B86" s="73" t="s">
        <v>378</v>
      </c>
      <c r="C86" s="205">
        <f t="shared" ref="C86:C88" si="110">D86+E86</f>
        <v>700</v>
      </c>
      <c r="D86" s="219"/>
      <c r="E86" s="205">
        <v>700</v>
      </c>
      <c r="F86" s="205">
        <f t="shared" ref="F86:F88" si="111">G86+H86</f>
        <v>698.76220000000001</v>
      </c>
      <c r="G86" s="219">
        <f t="shared" ref="G86:G88" si="112">J86</f>
        <v>0</v>
      </c>
      <c r="H86" s="205">
        <f t="shared" ref="H86:H88" si="113">M86</f>
        <v>698.76220000000001</v>
      </c>
      <c r="I86" s="205">
        <f t="shared" ref="I86:I88" si="114">J86+M86</f>
        <v>698.76220000000001</v>
      </c>
      <c r="J86" s="219">
        <f t="shared" ref="J86:J88" si="115">SUM(K86:L86)</f>
        <v>0</v>
      </c>
      <c r="K86" s="219"/>
      <c r="L86" s="219"/>
      <c r="M86" s="205">
        <f t="shared" ref="M86:M88" si="116">N86+O86</f>
        <v>698.76220000000001</v>
      </c>
      <c r="N86" s="205">
        <v>698.76220000000001</v>
      </c>
      <c r="O86" s="206"/>
      <c r="P86" s="206">
        <f t="shared" si="70"/>
        <v>99.823171428571428</v>
      </c>
      <c r="Q86" s="201"/>
      <c r="R86" s="206">
        <f t="shared" si="71"/>
        <v>99.823171428571428</v>
      </c>
    </row>
    <row r="87" spans="1:18" ht="31.5">
      <c r="A87" s="225"/>
      <c r="B87" s="73" t="s">
        <v>429</v>
      </c>
      <c r="C87" s="205">
        <f t="shared" si="110"/>
        <v>500</v>
      </c>
      <c r="D87" s="219"/>
      <c r="E87" s="205">
        <v>500</v>
      </c>
      <c r="F87" s="205">
        <f t="shared" si="111"/>
        <v>483.17</v>
      </c>
      <c r="G87" s="219">
        <f t="shared" si="112"/>
        <v>0</v>
      </c>
      <c r="H87" s="205">
        <f t="shared" si="113"/>
        <v>483.17</v>
      </c>
      <c r="I87" s="205">
        <f t="shared" si="114"/>
        <v>483.17</v>
      </c>
      <c r="J87" s="219">
        <f t="shared" si="115"/>
        <v>0</v>
      </c>
      <c r="K87" s="219"/>
      <c r="L87" s="219"/>
      <c r="M87" s="205">
        <f t="shared" si="116"/>
        <v>483.17</v>
      </c>
      <c r="N87" s="205">
        <v>483.17</v>
      </c>
      <c r="O87" s="206"/>
      <c r="P87" s="206">
        <f t="shared" si="70"/>
        <v>96.634</v>
      </c>
      <c r="Q87" s="201"/>
      <c r="R87" s="206">
        <f t="shared" si="71"/>
        <v>96.634</v>
      </c>
    </row>
    <row r="88" spans="1:18">
      <c r="A88" s="225"/>
      <c r="B88" s="73" t="s">
        <v>375</v>
      </c>
      <c r="C88" s="205">
        <f t="shared" si="110"/>
        <v>18</v>
      </c>
      <c r="D88" s="219"/>
      <c r="E88" s="205">
        <v>18</v>
      </c>
      <c r="F88" s="205">
        <f t="shared" si="111"/>
        <v>18</v>
      </c>
      <c r="G88" s="219">
        <f t="shared" si="112"/>
        <v>0</v>
      </c>
      <c r="H88" s="205">
        <f t="shared" si="113"/>
        <v>18</v>
      </c>
      <c r="I88" s="205">
        <f t="shared" si="114"/>
        <v>18</v>
      </c>
      <c r="J88" s="219">
        <f t="shared" si="115"/>
        <v>0</v>
      </c>
      <c r="K88" s="219"/>
      <c r="L88" s="219"/>
      <c r="M88" s="205">
        <f t="shared" si="116"/>
        <v>18</v>
      </c>
      <c r="N88" s="205">
        <v>18</v>
      </c>
      <c r="O88" s="206"/>
      <c r="P88" s="206"/>
      <c r="Q88" s="201"/>
      <c r="R88" s="206"/>
    </row>
    <row r="89" spans="1:18">
      <c r="A89" s="199" t="s">
        <v>430</v>
      </c>
      <c r="B89" s="74" t="s">
        <v>216</v>
      </c>
      <c r="C89" s="219">
        <f>SUM(C90:C91)</f>
        <v>407</v>
      </c>
      <c r="D89" s="219">
        <f t="shared" ref="D89:O89" si="117">SUM(D90:D91)</f>
        <v>0</v>
      </c>
      <c r="E89" s="219">
        <f t="shared" si="117"/>
        <v>407</v>
      </c>
      <c r="F89" s="219">
        <f t="shared" si="117"/>
        <v>395.27</v>
      </c>
      <c r="G89" s="219">
        <f t="shared" si="117"/>
        <v>0</v>
      </c>
      <c r="H89" s="219">
        <f t="shared" si="117"/>
        <v>395.27</v>
      </c>
      <c r="I89" s="219">
        <f t="shared" si="117"/>
        <v>395.27</v>
      </c>
      <c r="J89" s="219">
        <f t="shared" si="117"/>
        <v>0</v>
      </c>
      <c r="K89" s="219">
        <f t="shared" si="117"/>
        <v>0</v>
      </c>
      <c r="L89" s="219">
        <f t="shared" si="117"/>
        <v>0</v>
      </c>
      <c r="M89" s="219">
        <f t="shared" si="117"/>
        <v>395.27</v>
      </c>
      <c r="N89" s="219">
        <f t="shared" si="117"/>
        <v>395.27</v>
      </c>
      <c r="O89" s="201">
        <f t="shared" si="117"/>
        <v>0</v>
      </c>
      <c r="P89" s="201">
        <f t="shared" ref="P89:P90" si="118">F89/C89*100</f>
        <v>97.117936117936111</v>
      </c>
      <c r="Q89" s="201"/>
      <c r="R89" s="201">
        <f t="shared" ref="R89:R90" si="119">H89/E89*100</f>
        <v>97.117936117936111</v>
      </c>
    </row>
    <row r="90" spans="1:18" ht="31.5">
      <c r="A90" s="225"/>
      <c r="B90" s="73" t="s">
        <v>378</v>
      </c>
      <c r="C90" s="205">
        <f t="shared" ref="C90:C91" si="120">D90+E90</f>
        <v>400</v>
      </c>
      <c r="D90" s="219"/>
      <c r="E90" s="205">
        <v>400</v>
      </c>
      <c r="F90" s="205">
        <f t="shared" ref="F90:F91" si="121">G90+H90</f>
        <v>388.27</v>
      </c>
      <c r="G90" s="219">
        <f t="shared" ref="G90:G91" si="122">J90</f>
        <v>0</v>
      </c>
      <c r="H90" s="205">
        <f t="shared" ref="H90:H91" si="123">M90</f>
        <v>388.27</v>
      </c>
      <c r="I90" s="205">
        <f t="shared" ref="I90:I91" si="124">J90+M90</f>
        <v>388.27</v>
      </c>
      <c r="J90" s="219">
        <f t="shared" ref="J90:J91" si="125">SUM(K90:L90)</f>
        <v>0</v>
      </c>
      <c r="K90" s="219"/>
      <c r="L90" s="219"/>
      <c r="M90" s="205">
        <f t="shared" ref="M90:M91" si="126">N90+O90</f>
        <v>388.27</v>
      </c>
      <c r="N90" s="205">
        <v>388.27</v>
      </c>
      <c r="O90" s="206"/>
      <c r="P90" s="206">
        <f t="shared" si="118"/>
        <v>97.067499999999995</v>
      </c>
      <c r="Q90" s="201"/>
      <c r="R90" s="206">
        <f t="shared" si="119"/>
        <v>97.067499999999995</v>
      </c>
    </row>
    <row r="91" spans="1:18">
      <c r="A91" s="225"/>
      <c r="B91" s="73" t="s">
        <v>375</v>
      </c>
      <c r="C91" s="205">
        <f t="shared" si="120"/>
        <v>7</v>
      </c>
      <c r="D91" s="219"/>
      <c r="E91" s="205">
        <v>7</v>
      </c>
      <c r="F91" s="205">
        <f t="shared" si="121"/>
        <v>7</v>
      </c>
      <c r="G91" s="219">
        <f t="shared" si="122"/>
        <v>0</v>
      </c>
      <c r="H91" s="205">
        <f t="shared" si="123"/>
        <v>7</v>
      </c>
      <c r="I91" s="205">
        <f t="shared" si="124"/>
        <v>7</v>
      </c>
      <c r="J91" s="219">
        <f t="shared" si="125"/>
        <v>0</v>
      </c>
      <c r="K91" s="219"/>
      <c r="L91" s="219"/>
      <c r="M91" s="205">
        <f t="shared" si="126"/>
        <v>7</v>
      </c>
      <c r="N91" s="205">
        <v>7</v>
      </c>
      <c r="O91" s="206"/>
      <c r="P91" s="206"/>
      <c r="Q91" s="201"/>
      <c r="R91" s="206"/>
    </row>
    <row r="92" spans="1:18">
      <c r="A92" s="199" t="s">
        <v>431</v>
      </c>
      <c r="B92" s="74" t="s">
        <v>210</v>
      </c>
      <c r="C92" s="219">
        <f>SUM(C93:C94)</f>
        <v>618</v>
      </c>
      <c r="D92" s="219">
        <f t="shared" ref="D92:O92" si="127">SUM(D93:D94)</f>
        <v>0</v>
      </c>
      <c r="E92" s="219">
        <f t="shared" si="127"/>
        <v>618</v>
      </c>
      <c r="F92" s="219">
        <f t="shared" si="127"/>
        <v>612.4</v>
      </c>
      <c r="G92" s="219">
        <f t="shared" si="127"/>
        <v>0</v>
      </c>
      <c r="H92" s="219">
        <f t="shared" si="127"/>
        <v>612.4</v>
      </c>
      <c r="I92" s="219">
        <f t="shared" si="127"/>
        <v>612.4</v>
      </c>
      <c r="J92" s="219">
        <f t="shared" si="127"/>
        <v>0</v>
      </c>
      <c r="K92" s="219">
        <f t="shared" si="127"/>
        <v>0</v>
      </c>
      <c r="L92" s="219">
        <f t="shared" si="127"/>
        <v>0</v>
      </c>
      <c r="M92" s="219">
        <f t="shared" si="127"/>
        <v>612.4</v>
      </c>
      <c r="N92" s="219">
        <f t="shared" si="127"/>
        <v>612.4</v>
      </c>
      <c r="O92" s="201">
        <f t="shared" si="127"/>
        <v>0</v>
      </c>
      <c r="P92" s="201">
        <f t="shared" ref="P92:P93" si="128">F92/C92*100</f>
        <v>99.093851132686083</v>
      </c>
      <c r="Q92" s="201"/>
      <c r="R92" s="201">
        <f t="shared" ref="R92:R93" si="129">H92/E92*100</f>
        <v>99.093851132686083</v>
      </c>
    </row>
    <row r="93" spans="1:18" ht="31.5">
      <c r="A93" s="225"/>
      <c r="B93" s="73" t="s">
        <v>378</v>
      </c>
      <c r="C93" s="205">
        <f t="shared" ref="C93:C94" si="130">D93+E93</f>
        <v>600</v>
      </c>
      <c r="D93" s="219"/>
      <c r="E93" s="205">
        <v>600</v>
      </c>
      <c r="F93" s="205">
        <f t="shared" ref="F93:F94" si="131">G93+H93</f>
        <v>594.4</v>
      </c>
      <c r="G93" s="219">
        <f t="shared" ref="G93:G94" si="132">J93</f>
        <v>0</v>
      </c>
      <c r="H93" s="205">
        <f t="shared" ref="H93:H94" si="133">M93</f>
        <v>594.4</v>
      </c>
      <c r="I93" s="205">
        <f t="shared" ref="I93:I94" si="134">J93+M93</f>
        <v>594.4</v>
      </c>
      <c r="J93" s="219">
        <f t="shared" ref="J93:J94" si="135">SUM(K93:L93)</f>
        <v>0</v>
      </c>
      <c r="K93" s="219"/>
      <c r="L93" s="219"/>
      <c r="M93" s="205">
        <f t="shared" ref="M93:M94" si="136">N93+O93</f>
        <v>594.4</v>
      </c>
      <c r="N93" s="205">
        <v>594.4</v>
      </c>
      <c r="O93" s="206"/>
      <c r="P93" s="206">
        <f t="shared" si="128"/>
        <v>99.066666666666663</v>
      </c>
      <c r="Q93" s="201"/>
      <c r="R93" s="206">
        <f t="shared" si="129"/>
        <v>99.066666666666663</v>
      </c>
    </row>
    <row r="94" spans="1:18">
      <c r="A94" s="225"/>
      <c r="B94" s="73" t="s">
        <v>375</v>
      </c>
      <c r="C94" s="205">
        <f t="shared" si="130"/>
        <v>18</v>
      </c>
      <c r="D94" s="219"/>
      <c r="E94" s="205">
        <v>18</v>
      </c>
      <c r="F94" s="205">
        <f t="shared" si="131"/>
        <v>18</v>
      </c>
      <c r="G94" s="219">
        <f t="shared" si="132"/>
        <v>0</v>
      </c>
      <c r="H94" s="205">
        <f t="shared" si="133"/>
        <v>18</v>
      </c>
      <c r="I94" s="205">
        <f t="shared" si="134"/>
        <v>18</v>
      </c>
      <c r="J94" s="219">
        <f t="shared" si="135"/>
        <v>0</v>
      </c>
      <c r="K94" s="219"/>
      <c r="L94" s="219"/>
      <c r="M94" s="205">
        <f t="shared" si="136"/>
        <v>18</v>
      </c>
      <c r="N94" s="205">
        <v>18</v>
      </c>
      <c r="O94" s="206"/>
      <c r="P94" s="206"/>
      <c r="Q94" s="201"/>
      <c r="R94" s="206"/>
    </row>
    <row r="95" spans="1:18">
      <c r="A95" s="199" t="s">
        <v>432</v>
      </c>
      <c r="B95" s="74" t="s">
        <v>212</v>
      </c>
      <c r="C95" s="219">
        <f>SUM(C96:C97)</f>
        <v>713</v>
      </c>
      <c r="D95" s="219">
        <f t="shared" ref="D95:O95" si="137">SUM(D96:D97)</f>
        <v>0</v>
      </c>
      <c r="E95" s="219">
        <f t="shared" si="137"/>
        <v>713</v>
      </c>
      <c r="F95" s="219">
        <f t="shared" si="137"/>
        <v>695.88800000000003</v>
      </c>
      <c r="G95" s="219">
        <f t="shared" si="137"/>
        <v>0</v>
      </c>
      <c r="H95" s="219">
        <f t="shared" si="137"/>
        <v>695.88800000000003</v>
      </c>
      <c r="I95" s="219">
        <f t="shared" si="137"/>
        <v>695.88800000000003</v>
      </c>
      <c r="J95" s="219">
        <f t="shared" si="137"/>
        <v>0</v>
      </c>
      <c r="K95" s="219">
        <f t="shared" si="137"/>
        <v>0</v>
      </c>
      <c r="L95" s="219">
        <f t="shared" si="137"/>
        <v>0</v>
      </c>
      <c r="M95" s="219">
        <f t="shared" si="137"/>
        <v>695.88800000000003</v>
      </c>
      <c r="N95" s="219">
        <f t="shared" si="137"/>
        <v>695.88800000000003</v>
      </c>
      <c r="O95" s="201">
        <f t="shared" si="137"/>
        <v>0</v>
      </c>
      <c r="P95" s="201">
        <f t="shared" ref="P95:P96" si="138">F95/C95*100</f>
        <v>97.600000000000009</v>
      </c>
      <c r="Q95" s="201"/>
      <c r="R95" s="201">
        <f t="shared" ref="R95:R96" si="139">H95/E95*100</f>
        <v>97.600000000000009</v>
      </c>
    </row>
    <row r="96" spans="1:18" ht="31.5">
      <c r="A96" s="225"/>
      <c r="B96" s="73" t="s">
        <v>378</v>
      </c>
      <c r="C96" s="205">
        <f t="shared" ref="C96:C97" si="140">D96+E96</f>
        <v>700</v>
      </c>
      <c r="D96" s="219"/>
      <c r="E96" s="205">
        <v>700</v>
      </c>
      <c r="F96" s="205">
        <f t="shared" ref="F96:F97" si="141">G96+H96</f>
        <v>682.88800000000003</v>
      </c>
      <c r="G96" s="219">
        <f t="shared" ref="G96:G97" si="142">J96</f>
        <v>0</v>
      </c>
      <c r="H96" s="205">
        <f t="shared" ref="H96:H97" si="143">M96</f>
        <v>682.88800000000003</v>
      </c>
      <c r="I96" s="205">
        <f t="shared" ref="I96:I97" si="144">J96+M96</f>
        <v>682.88800000000003</v>
      </c>
      <c r="J96" s="219">
        <f t="shared" ref="J96:J97" si="145">SUM(K96:L96)</f>
        <v>0</v>
      </c>
      <c r="K96" s="219"/>
      <c r="L96" s="219"/>
      <c r="M96" s="205">
        <f t="shared" ref="M96:M97" si="146">N96+O96</f>
        <v>682.88800000000003</v>
      </c>
      <c r="N96" s="205">
        <v>682.88800000000003</v>
      </c>
      <c r="O96" s="206"/>
      <c r="P96" s="206">
        <f t="shared" si="138"/>
        <v>97.555428571428564</v>
      </c>
      <c r="Q96" s="201"/>
      <c r="R96" s="206">
        <f t="shared" si="139"/>
        <v>97.555428571428564</v>
      </c>
    </row>
    <row r="97" spans="1:18">
      <c r="A97" s="225"/>
      <c r="B97" s="73" t="s">
        <v>375</v>
      </c>
      <c r="C97" s="205">
        <f t="shared" si="140"/>
        <v>13</v>
      </c>
      <c r="D97" s="219"/>
      <c r="E97" s="205">
        <v>13</v>
      </c>
      <c r="F97" s="205">
        <f t="shared" si="141"/>
        <v>13</v>
      </c>
      <c r="G97" s="219">
        <f t="shared" si="142"/>
        <v>0</v>
      </c>
      <c r="H97" s="205">
        <f t="shared" si="143"/>
        <v>13</v>
      </c>
      <c r="I97" s="205">
        <f t="shared" si="144"/>
        <v>13</v>
      </c>
      <c r="J97" s="219">
        <f t="shared" si="145"/>
        <v>0</v>
      </c>
      <c r="K97" s="219"/>
      <c r="L97" s="219"/>
      <c r="M97" s="205">
        <f t="shared" si="146"/>
        <v>13</v>
      </c>
      <c r="N97" s="205">
        <v>13</v>
      </c>
      <c r="O97" s="206"/>
      <c r="P97" s="206"/>
      <c r="Q97" s="201"/>
      <c r="R97" s="206"/>
    </row>
    <row r="98" spans="1:18">
      <c r="A98" s="199" t="s">
        <v>433</v>
      </c>
      <c r="B98" s="74" t="s">
        <v>217</v>
      </c>
      <c r="C98" s="219">
        <f>SUM(C99:C100)</f>
        <v>613</v>
      </c>
      <c r="D98" s="219">
        <f t="shared" ref="D98:O98" si="147">SUM(D99:D100)</f>
        <v>0</v>
      </c>
      <c r="E98" s="219">
        <f t="shared" si="147"/>
        <v>613</v>
      </c>
      <c r="F98" s="219">
        <f t="shared" si="147"/>
        <v>608.94000000000005</v>
      </c>
      <c r="G98" s="219">
        <f t="shared" si="147"/>
        <v>0</v>
      </c>
      <c r="H98" s="219">
        <f t="shared" si="147"/>
        <v>608.94000000000005</v>
      </c>
      <c r="I98" s="219">
        <f t="shared" si="147"/>
        <v>608.94000000000005</v>
      </c>
      <c r="J98" s="219">
        <f t="shared" si="147"/>
        <v>0</v>
      </c>
      <c r="K98" s="219">
        <f t="shared" si="147"/>
        <v>0</v>
      </c>
      <c r="L98" s="219">
        <f t="shared" si="147"/>
        <v>0</v>
      </c>
      <c r="M98" s="219">
        <f t="shared" si="147"/>
        <v>608.94000000000005</v>
      </c>
      <c r="N98" s="219">
        <f t="shared" si="147"/>
        <v>608.94000000000005</v>
      </c>
      <c r="O98" s="201">
        <f t="shared" si="147"/>
        <v>0</v>
      </c>
      <c r="P98" s="201">
        <f t="shared" ref="P98:P99" si="148">F98/C98*100</f>
        <v>99.337683523654164</v>
      </c>
      <c r="Q98" s="201"/>
      <c r="R98" s="201">
        <f t="shared" ref="R98:R99" si="149">H98/E98*100</f>
        <v>99.337683523654164</v>
      </c>
    </row>
    <row r="99" spans="1:18" ht="31.5">
      <c r="A99" s="225"/>
      <c r="B99" s="73" t="s">
        <v>378</v>
      </c>
      <c r="C99" s="205">
        <f t="shared" ref="C99:C100" si="150">D99+E99</f>
        <v>600</v>
      </c>
      <c r="D99" s="219"/>
      <c r="E99" s="205">
        <v>600</v>
      </c>
      <c r="F99" s="205">
        <f t="shared" ref="F99:F100" si="151">G99+H99</f>
        <v>595.94000000000005</v>
      </c>
      <c r="G99" s="219">
        <f t="shared" ref="G99:G100" si="152">J99</f>
        <v>0</v>
      </c>
      <c r="H99" s="205">
        <f t="shared" ref="H99:H100" si="153">M99</f>
        <v>595.94000000000005</v>
      </c>
      <c r="I99" s="205">
        <f t="shared" ref="I99:I100" si="154">J99+M99</f>
        <v>595.94000000000005</v>
      </c>
      <c r="J99" s="219">
        <f t="shared" ref="J99:J100" si="155">SUM(K99:L99)</f>
        <v>0</v>
      </c>
      <c r="K99" s="219"/>
      <c r="L99" s="219"/>
      <c r="M99" s="205">
        <f t="shared" ref="M99:M100" si="156">N99+O99</f>
        <v>595.94000000000005</v>
      </c>
      <c r="N99" s="205">
        <v>595.94000000000005</v>
      </c>
      <c r="O99" s="206"/>
      <c r="P99" s="206">
        <f t="shared" si="148"/>
        <v>99.323333333333338</v>
      </c>
      <c r="Q99" s="201"/>
      <c r="R99" s="206">
        <f t="shared" si="149"/>
        <v>99.323333333333338</v>
      </c>
    </row>
    <row r="100" spans="1:18">
      <c r="A100" s="225"/>
      <c r="B100" s="73" t="s">
        <v>375</v>
      </c>
      <c r="C100" s="205">
        <f t="shared" si="150"/>
        <v>13</v>
      </c>
      <c r="D100" s="219"/>
      <c r="E100" s="205">
        <v>13</v>
      </c>
      <c r="F100" s="205">
        <f t="shared" si="151"/>
        <v>13</v>
      </c>
      <c r="G100" s="219">
        <f t="shared" si="152"/>
        <v>0</v>
      </c>
      <c r="H100" s="205">
        <f t="shared" si="153"/>
        <v>13</v>
      </c>
      <c r="I100" s="205">
        <f t="shared" si="154"/>
        <v>13</v>
      </c>
      <c r="J100" s="219">
        <f t="shared" si="155"/>
        <v>0</v>
      </c>
      <c r="K100" s="219"/>
      <c r="L100" s="219"/>
      <c r="M100" s="205">
        <f t="shared" si="156"/>
        <v>13</v>
      </c>
      <c r="N100" s="205">
        <v>13</v>
      </c>
      <c r="O100" s="206"/>
      <c r="P100" s="206"/>
      <c r="Q100" s="201"/>
      <c r="R100" s="206"/>
    </row>
    <row r="101" spans="1:18">
      <c r="A101" s="199" t="s">
        <v>434</v>
      </c>
      <c r="B101" s="74" t="s">
        <v>211</v>
      </c>
      <c r="C101" s="219">
        <f>SUM(C102:C103)</f>
        <v>718</v>
      </c>
      <c r="D101" s="219">
        <f t="shared" ref="D101:O101" si="157">SUM(D102:D103)</f>
        <v>0</v>
      </c>
      <c r="E101" s="219">
        <f t="shared" si="157"/>
        <v>718</v>
      </c>
      <c r="F101" s="219">
        <f t="shared" si="157"/>
        <v>714.45600000000002</v>
      </c>
      <c r="G101" s="219">
        <f t="shared" si="157"/>
        <v>0</v>
      </c>
      <c r="H101" s="219">
        <f t="shared" si="157"/>
        <v>714.45600000000002</v>
      </c>
      <c r="I101" s="219">
        <f t="shared" si="157"/>
        <v>714.45600000000002</v>
      </c>
      <c r="J101" s="219">
        <f t="shared" si="157"/>
        <v>0</v>
      </c>
      <c r="K101" s="219">
        <f t="shared" si="157"/>
        <v>0</v>
      </c>
      <c r="L101" s="219">
        <f t="shared" si="157"/>
        <v>0</v>
      </c>
      <c r="M101" s="219">
        <f t="shared" si="157"/>
        <v>714.45600000000002</v>
      </c>
      <c r="N101" s="219">
        <f t="shared" si="157"/>
        <v>714.45600000000002</v>
      </c>
      <c r="O101" s="201">
        <f t="shared" si="157"/>
        <v>0</v>
      </c>
      <c r="P101" s="201">
        <f t="shared" ref="P101:P102" si="158">F101/C101*100</f>
        <v>99.506406685236769</v>
      </c>
      <c r="Q101" s="201"/>
      <c r="R101" s="201">
        <f t="shared" ref="R101:R102" si="159">H101/E101*100</f>
        <v>99.506406685236769</v>
      </c>
    </row>
    <row r="102" spans="1:18" ht="31.5">
      <c r="A102" s="225"/>
      <c r="B102" s="73" t="s">
        <v>378</v>
      </c>
      <c r="C102" s="205">
        <f t="shared" ref="C102:C103" si="160">D102+E102</f>
        <v>700</v>
      </c>
      <c r="D102" s="219"/>
      <c r="E102" s="205">
        <v>700</v>
      </c>
      <c r="F102" s="205">
        <f t="shared" ref="F102:F103" si="161">G102+H102</f>
        <v>696.45600000000002</v>
      </c>
      <c r="G102" s="219">
        <f t="shared" ref="G102:G103" si="162">J102</f>
        <v>0</v>
      </c>
      <c r="H102" s="205">
        <f t="shared" ref="H102:H103" si="163">M102</f>
        <v>696.45600000000002</v>
      </c>
      <c r="I102" s="205">
        <f t="shared" ref="I102:I103" si="164">J102+M102</f>
        <v>696.45600000000002</v>
      </c>
      <c r="J102" s="219">
        <f t="shared" ref="J102:J103" si="165">SUM(K102:L102)</f>
        <v>0</v>
      </c>
      <c r="K102" s="219"/>
      <c r="L102" s="219"/>
      <c r="M102" s="205">
        <f t="shared" ref="M102:M103" si="166">N102+O102</f>
        <v>696.45600000000002</v>
      </c>
      <c r="N102" s="205">
        <v>696.45600000000002</v>
      </c>
      <c r="O102" s="206"/>
      <c r="P102" s="206">
        <f t="shared" si="158"/>
        <v>99.49371428571429</v>
      </c>
      <c r="Q102" s="201"/>
      <c r="R102" s="206">
        <f t="shared" si="159"/>
        <v>99.49371428571429</v>
      </c>
    </row>
    <row r="103" spans="1:18">
      <c r="A103" s="225"/>
      <c r="B103" s="73" t="s">
        <v>375</v>
      </c>
      <c r="C103" s="205">
        <f t="shared" si="160"/>
        <v>18</v>
      </c>
      <c r="D103" s="219"/>
      <c r="E103" s="205">
        <v>18</v>
      </c>
      <c r="F103" s="205">
        <f t="shared" si="161"/>
        <v>18</v>
      </c>
      <c r="G103" s="219">
        <f t="shared" si="162"/>
        <v>0</v>
      </c>
      <c r="H103" s="205">
        <f t="shared" si="163"/>
        <v>18</v>
      </c>
      <c r="I103" s="205">
        <f t="shared" si="164"/>
        <v>18</v>
      </c>
      <c r="J103" s="219">
        <f t="shared" si="165"/>
        <v>0</v>
      </c>
      <c r="K103" s="219"/>
      <c r="L103" s="219"/>
      <c r="M103" s="205">
        <f t="shared" si="166"/>
        <v>18</v>
      </c>
      <c r="N103" s="205">
        <v>18</v>
      </c>
      <c r="O103" s="206"/>
      <c r="P103" s="206"/>
      <c r="Q103" s="201"/>
      <c r="R103" s="206"/>
    </row>
    <row r="104" spans="1:18">
      <c r="A104" s="199" t="s">
        <v>435</v>
      </c>
      <c r="B104" s="74" t="s">
        <v>222</v>
      </c>
      <c r="C104" s="219">
        <f>SUM(C105:C107)</f>
        <v>1059</v>
      </c>
      <c r="D104" s="219">
        <f t="shared" ref="D104:O104" si="167">SUM(D105:D107)</f>
        <v>0</v>
      </c>
      <c r="E104" s="219">
        <f t="shared" si="167"/>
        <v>1059</v>
      </c>
      <c r="F104" s="219">
        <f t="shared" si="167"/>
        <v>1050.056</v>
      </c>
      <c r="G104" s="219">
        <f t="shared" si="167"/>
        <v>0</v>
      </c>
      <c r="H104" s="219">
        <f t="shared" si="167"/>
        <v>1050.056</v>
      </c>
      <c r="I104" s="219">
        <f t="shared" si="167"/>
        <v>1050.056</v>
      </c>
      <c r="J104" s="219">
        <f t="shared" si="167"/>
        <v>0</v>
      </c>
      <c r="K104" s="219">
        <f t="shared" si="167"/>
        <v>0</v>
      </c>
      <c r="L104" s="219">
        <f t="shared" si="167"/>
        <v>0</v>
      </c>
      <c r="M104" s="219">
        <f t="shared" si="167"/>
        <v>1050.056</v>
      </c>
      <c r="N104" s="219">
        <f t="shared" si="167"/>
        <v>1050.056</v>
      </c>
      <c r="O104" s="201">
        <f t="shared" si="167"/>
        <v>0</v>
      </c>
      <c r="P104" s="201">
        <f t="shared" ref="P104:P106" si="168">F104/C104*100</f>
        <v>99.155429650613797</v>
      </c>
      <c r="Q104" s="201"/>
      <c r="R104" s="201">
        <f t="shared" ref="R104:R106" si="169">H104/E104*100</f>
        <v>99.155429650613797</v>
      </c>
    </row>
    <row r="105" spans="1:18" ht="31.5">
      <c r="A105" s="225"/>
      <c r="B105" s="73" t="s">
        <v>378</v>
      </c>
      <c r="C105" s="205">
        <f t="shared" ref="C105:C107" si="170">D105+E105</f>
        <v>300</v>
      </c>
      <c r="D105" s="219"/>
      <c r="E105" s="205">
        <v>300</v>
      </c>
      <c r="F105" s="205">
        <f t="shared" ref="F105:F107" si="171">G105+H105</f>
        <v>297.64999999999998</v>
      </c>
      <c r="G105" s="219">
        <f t="shared" ref="G105:G107" si="172">J105</f>
        <v>0</v>
      </c>
      <c r="H105" s="205">
        <f t="shared" ref="H105:H107" si="173">M105</f>
        <v>297.64999999999998</v>
      </c>
      <c r="I105" s="205">
        <f t="shared" ref="I105:I107" si="174">J105+M105</f>
        <v>297.64999999999998</v>
      </c>
      <c r="J105" s="219">
        <f t="shared" ref="J105" si="175">SUM(K105:L105)</f>
        <v>0</v>
      </c>
      <c r="K105" s="219"/>
      <c r="L105" s="219"/>
      <c r="M105" s="205">
        <f t="shared" ref="M105:M107" si="176">N105+O105</f>
        <v>297.64999999999998</v>
      </c>
      <c r="N105" s="205">
        <v>297.64999999999998</v>
      </c>
      <c r="O105" s="206"/>
      <c r="P105" s="206">
        <f t="shared" si="168"/>
        <v>99.216666666666669</v>
      </c>
      <c r="Q105" s="201"/>
      <c r="R105" s="206">
        <f t="shared" si="169"/>
        <v>99.216666666666669</v>
      </c>
    </row>
    <row r="106" spans="1:18" ht="31.5">
      <c r="A106" s="225"/>
      <c r="B106" s="73" t="s">
        <v>429</v>
      </c>
      <c r="C106" s="205">
        <f t="shared" si="170"/>
        <v>747</v>
      </c>
      <c r="D106" s="219"/>
      <c r="E106" s="205">
        <v>747</v>
      </c>
      <c r="F106" s="205">
        <f t="shared" si="171"/>
        <v>740.40599999999995</v>
      </c>
      <c r="G106" s="219">
        <f t="shared" si="172"/>
        <v>0</v>
      </c>
      <c r="H106" s="205">
        <f t="shared" si="173"/>
        <v>740.40599999999995</v>
      </c>
      <c r="I106" s="205">
        <f t="shared" si="174"/>
        <v>740.40599999999995</v>
      </c>
      <c r="J106" s="219">
        <f t="shared" ref="J106:J107" si="177">SUM(K106:L106)</f>
        <v>0</v>
      </c>
      <c r="K106" s="219"/>
      <c r="L106" s="219"/>
      <c r="M106" s="205">
        <f t="shared" si="176"/>
        <v>740.40599999999995</v>
      </c>
      <c r="N106" s="205">
        <v>740.40599999999995</v>
      </c>
      <c r="O106" s="206"/>
      <c r="P106" s="206">
        <f t="shared" si="168"/>
        <v>99.11726907630522</v>
      </c>
      <c r="Q106" s="201"/>
      <c r="R106" s="206">
        <f t="shared" si="169"/>
        <v>99.11726907630522</v>
      </c>
    </row>
    <row r="107" spans="1:18">
      <c r="A107" s="225"/>
      <c r="B107" s="73" t="s">
        <v>375</v>
      </c>
      <c r="C107" s="205">
        <f t="shared" si="170"/>
        <v>12</v>
      </c>
      <c r="D107" s="219"/>
      <c r="E107" s="205">
        <v>12</v>
      </c>
      <c r="F107" s="205">
        <f t="shared" si="171"/>
        <v>12</v>
      </c>
      <c r="G107" s="219">
        <f t="shared" si="172"/>
        <v>0</v>
      </c>
      <c r="H107" s="205">
        <f t="shared" si="173"/>
        <v>12</v>
      </c>
      <c r="I107" s="205">
        <f t="shared" si="174"/>
        <v>12</v>
      </c>
      <c r="J107" s="219">
        <f t="shared" si="177"/>
        <v>0</v>
      </c>
      <c r="K107" s="219"/>
      <c r="L107" s="219"/>
      <c r="M107" s="205">
        <f t="shared" si="176"/>
        <v>12</v>
      </c>
      <c r="N107" s="205">
        <v>12</v>
      </c>
      <c r="O107" s="206"/>
      <c r="P107" s="206"/>
      <c r="Q107" s="201"/>
      <c r="R107" s="206"/>
    </row>
    <row r="108" spans="1:18">
      <c r="A108" s="199" t="s">
        <v>436</v>
      </c>
      <c r="B108" s="74" t="s">
        <v>437</v>
      </c>
      <c r="C108" s="219">
        <f>SUM(C109:C110)</f>
        <v>507</v>
      </c>
      <c r="D108" s="219">
        <f t="shared" ref="D108:O108" si="178">SUM(D109:D110)</f>
        <v>0</v>
      </c>
      <c r="E108" s="219">
        <f t="shared" si="178"/>
        <v>507</v>
      </c>
      <c r="F108" s="219">
        <f t="shared" si="178"/>
        <v>499.28</v>
      </c>
      <c r="G108" s="219">
        <f t="shared" si="178"/>
        <v>0</v>
      </c>
      <c r="H108" s="219">
        <f t="shared" si="178"/>
        <v>499.28</v>
      </c>
      <c r="I108" s="219">
        <f t="shared" si="178"/>
        <v>499.28</v>
      </c>
      <c r="J108" s="219">
        <f t="shared" si="178"/>
        <v>0</v>
      </c>
      <c r="K108" s="219">
        <f t="shared" si="178"/>
        <v>0</v>
      </c>
      <c r="L108" s="219">
        <f t="shared" si="178"/>
        <v>0</v>
      </c>
      <c r="M108" s="219">
        <f t="shared" si="178"/>
        <v>499.28</v>
      </c>
      <c r="N108" s="219">
        <f t="shared" si="178"/>
        <v>499.28</v>
      </c>
      <c r="O108" s="201">
        <f t="shared" si="178"/>
        <v>0</v>
      </c>
      <c r="P108" s="201">
        <f t="shared" ref="P108:P109" si="179">F108/C108*100</f>
        <v>98.477317554240628</v>
      </c>
      <c r="Q108" s="201"/>
      <c r="R108" s="201">
        <f t="shared" ref="R108:R109" si="180">H108/E108*100</f>
        <v>98.477317554240628</v>
      </c>
    </row>
    <row r="109" spans="1:18" ht="31.5">
      <c r="A109" s="225"/>
      <c r="B109" s="73" t="s">
        <v>378</v>
      </c>
      <c r="C109" s="205">
        <f t="shared" ref="C109:C110" si="181">D109+E109</f>
        <v>500</v>
      </c>
      <c r="D109" s="219"/>
      <c r="E109" s="205">
        <v>500</v>
      </c>
      <c r="F109" s="205">
        <f t="shared" ref="F109:F110" si="182">G109+H109</f>
        <v>492.28</v>
      </c>
      <c r="G109" s="219">
        <f t="shared" ref="G109:G110" si="183">J109</f>
        <v>0</v>
      </c>
      <c r="H109" s="205">
        <f t="shared" ref="H109:H110" si="184">M109</f>
        <v>492.28</v>
      </c>
      <c r="I109" s="205">
        <f t="shared" ref="I109:I110" si="185">J109+M109</f>
        <v>492.28</v>
      </c>
      <c r="J109" s="219">
        <f t="shared" ref="J109:J110" si="186">SUM(K109:L109)</f>
        <v>0</v>
      </c>
      <c r="K109" s="219"/>
      <c r="L109" s="219"/>
      <c r="M109" s="205">
        <f t="shared" ref="M109:M110" si="187">N109+O109</f>
        <v>492.28</v>
      </c>
      <c r="N109" s="205">
        <v>492.28</v>
      </c>
      <c r="O109" s="206"/>
      <c r="P109" s="206">
        <f t="shared" si="179"/>
        <v>98.456000000000003</v>
      </c>
      <c r="Q109" s="201"/>
      <c r="R109" s="206">
        <f t="shared" si="180"/>
        <v>98.456000000000003</v>
      </c>
    </row>
    <row r="110" spans="1:18">
      <c r="A110" s="225"/>
      <c r="B110" s="73" t="s">
        <v>375</v>
      </c>
      <c r="C110" s="205">
        <f t="shared" si="181"/>
        <v>7</v>
      </c>
      <c r="D110" s="219"/>
      <c r="E110" s="205">
        <v>7</v>
      </c>
      <c r="F110" s="205">
        <f t="shared" si="182"/>
        <v>7</v>
      </c>
      <c r="G110" s="219">
        <f t="shared" si="183"/>
        <v>0</v>
      </c>
      <c r="H110" s="205">
        <f t="shared" si="184"/>
        <v>7</v>
      </c>
      <c r="I110" s="205">
        <f t="shared" si="185"/>
        <v>7</v>
      </c>
      <c r="J110" s="219">
        <f t="shared" si="186"/>
        <v>0</v>
      </c>
      <c r="K110" s="219"/>
      <c r="L110" s="219"/>
      <c r="M110" s="205">
        <f t="shared" si="187"/>
        <v>7</v>
      </c>
      <c r="N110" s="205">
        <v>7</v>
      </c>
      <c r="O110" s="206"/>
      <c r="P110" s="206"/>
      <c r="Q110" s="201"/>
      <c r="R110" s="206"/>
    </row>
    <row r="111" spans="1:18">
      <c r="A111" s="199" t="s">
        <v>436</v>
      </c>
      <c r="B111" s="74" t="s">
        <v>438</v>
      </c>
      <c r="C111" s="219">
        <f>SUM(C112:C113)</f>
        <v>307</v>
      </c>
      <c r="D111" s="219">
        <f t="shared" ref="D111:O111" si="188">SUM(D112:D113)</f>
        <v>0</v>
      </c>
      <c r="E111" s="219">
        <f t="shared" si="188"/>
        <v>307</v>
      </c>
      <c r="F111" s="219">
        <f t="shared" si="188"/>
        <v>305.19920000000002</v>
      </c>
      <c r="G111" s="219">
        <f t="shared" si="188"/>
        <v>0</v>
      </c>
      <c r="H111" s="219">
        <f t="shared" si="188"/>
        <v>305.19920000000002</v>
      </c>
      <c r="I111" s="219">
        <f t="shared" si="188"/>
        <v>305.19920000000002</v>
      </c>
      <c r="J111" s="219">
        <f t="shared" si="188"/>
        <v>0</v>
      </c>
      <c r="K111" s="219">
        <f t="shared" si="188"/>
        <v>0</v>
      </c>
      <c r="L111" s="219">
        <f t="shared" si="188"/>
        <v>0</v>
      </c>
      <c r="M111" s="219">
        <f t="shared" si="188"/>
        <v>305.19920000000002</v>
      </c>
      <c r="N111" s="219">
        <f t="shared" si="188"/>
        <v>305.19920000000002</v>
      </c>
      <c r="O111" s="201">
        <f t="shared" si="188"/>
        <v>0</v>
      </c>
      <c r="P111" s="201">
        <f t="shared" ref="P111:P112" si="189">F111/C111*100</f>
        <v>99.413420195439755</v>
      </c>
      <c r="Q111" s="201"/>
      <c r="R111" s="201">
        <f t="shared" ref="R111:R112" si="190">H111/E111*100</f>
        <v>99.413420195439755</v>
      </c>
    </row>
    <row r="112" spans="1:18" ht="31.5">
      <c r="A112" s="225"/>
      <c r="B112" s="73" t="s">
        <v>378</v>
      </c>
      <c r="C112" s="205">
        <f t="shared" ref="C112:C113" si="191">D112+E112</f>
        <v>300</v>
      </c>
      <c r="D112" s="219"/>
      <c r="E112" s="205">
        <v>300</v>
      </c>
      <c r="F112" s="205">
        <f t="shared" ref="F112:F113" si="192">G112+H112</f>
        <v>298.19920000000002</v>
      </c>
      <c r="G112" s="219">
        <f t="shared" ref="G112:G113" si="193">J112</f>
        <v>0</v>
      </c>
      <c r="H112" s="205">
        <f t="shared" ref="H112:H113" si="194">M112</f>
        <v>298.19920000000002</v>
      </c>
      <c r="I112" s="205">
        <f t="shared" ref="I112:I113" si="195">J112+M112</f>
        <v>298.19920000000002</v>
      </c>
      <c r="J112" s="219">
        <f t="shared" ref="J112:J113" si="196">SUM(K112:L112)</f>
        <v>0</v>
      </c>
      <c r="K112" s="219"/>
      <c r="L112" s="219"/>
      <c r="M112" s="205">
        <f t="shared" ref="M112:M113" si="197">N112+O112</f>
        <v>298.19920000000002</v>
      </c>
      <c r="N112" s="205">
        <v>298.19920000000002</v>
      </c>
      <c r="O112" s="206"/>
      <c r="P112" s="206">
        <f t="shared" si="189"/>
        <v>99.399733333333344</v>
      </c>
      <c r="Q112" s="201"/>
      <c r="R112" s="206">
        <f t="shared" si="190"/>
        <v>99.399733333333344</v>
      </c>
    </row>
    <row r="113" spans="1:18">
      <c r="A113" s="225"/>
      <c r="B113" s="73" t="s">
        <v>375</v>
      </c>
      <c r="C113" s="205">
        <f t="shared" si="191"/>
        <v>7</v>
      </c>
      <c r="D113" s="219"/>
      <c r="E113" s="205">
        <v>7</v>
      </c>
      <c r="F113" s="205">
        <f t="shared" si="192"/>
        <v>7</v>
      </c>
      <c r="G113" s="219">
        <f t="shared" si="193"/>
        <v>0</v>
      </c>
      <c r="H113" s="205">
        <f t="shared" si="194"/>
        <v>7</v>
      </c>
      <c r="I113" s="205">
        <f t="shared" si="195"/>
        <v>7</v>
      </c>
      <c r="J113" s="219">
        <f t="shared" si="196"/>
        <v>0</v>
      </c>
      <c r="K113" s="219"/>
      <c r="L113" s="219"/>
      <c r="M113" s="205">
        <f t="shared" si="197"/>
        <v>7</v>
      </c>
      <c r="N113" s="205">
        <v>7</v>
      </c>
      <c r="O113" s="206"/>
      <c r="P113" s="206"/>
      <c r="Q113" s="201"/>
      <c r="R113" s="206"/>
    </row>
    <row r="114" spans="1:18">
      <c r="A114" s="199" t="s">
        <v>439</v>
      </c>
      <c r="B114" s="74" t="s">
        <v>440</v>
      </c>
      <c r="C114" s="219">
        <f>SUM(C115:C116)</f>
        <v>407</v>
      </c>
      <c r="D114" s="219">
        <f t="shared" ref="D114:O114" si="198">SUM(D115:D116)</f>
        <v>0</v>
      </c>
      <c r="E114" s="219">
        <f t="shared" si="198"/>
        <v>407</v>
      </c>
      <c r="F114" s="219">
        <f t="shared" si="198"/>
        <v>405.92399999999998</v>
      </c>
      <c r="G114" s="219">
        <f t="shared" si="198"/>
        <v>0</v>
      </c>
      <c r="H114" s="219">
        <f t="shared" si="198"/>
        <v>405.92399999999998</v>
      </c>
      <c r="I114" s="219">
        <f t="shared" si="198"/>
        <v>405.92399999999998</v>
      </c>
      <c r="J114" s="219">
        <f t="shared" si="198"/>
        <v>0</v>
      </c>
      <c r="K114" s="219">
        <f t="shared" si="198"/>
        <v>0</v>
      </c>
      <c r="L114" s="219">
        <f t="shared" si="198"/>
        <v>0</v>
      </c>
      <c r="M114" s="219">
        <f t="shared" si="198"/>
        <v>405.92399999999998</v>
      </c>
      <c r="N114" s="219">
        <f t="shared" si="198"/>
        <v>405.92399999999998</v>
      </c>
      <c r="O114" s="201">
        <f t="shared" si="198"/>
        <v>0</v>
      </c>
      <c r="P114" s="201">
        <f t="shared" ref="P114:P115" si="199">F114/C114*100</f>
        <v>99.735626535626537</v>
      </c>
      <c r="Q114" s="201"/>
      <c r="R114" s="201">
        <f t="shared" ref="R114:R115" si="200">H114/E114*100</f>
        <v>99.735626535626537</v>
      </c>
    </row>
    <row r="115" spans="1:18" ht="31.5">
      <c r="A115" s="225"/>
      <c r="B115" s="73" t="s">
        <v>378</v>
      </c>
      <c r="C115" s="205">
        <f t="shared" ref="C115:C116" si="201">D115+E115</f>
        <v>400</v>
      </c>
      <c r="D115" s="219"/>
      <c r="E115" s="205">
        <v>400</v>
      </c>
      <c r="F115" s="205">
        <f t="shared" ref="F115:F116" si="202">G115+H115</f>
        <v>398.92399999999998</v>
      </c>
      <c r="G115" s="219">
        <f t="shared" ref="G115:G116" si="203">J115</f>
        <v>0</v>
      </c>
      <c r="H115" s="205">
        <f t="shared" ref="H115:H116" si="204">M115</f>
        <v>398.92399999999998</v>
      </c>
      <c r="I115" s="205">
        <f t="shared" ref="I115:I116" si="205">J115+M115</f>
        <v>398.92399999999998</v>
      </c>
      <c r="J115" s="219">
        <f t="shared" ref="J115" si="206">SUM(K115:L115)</f>
        <v>0</v>
      </c>
      <c r="K115" s="219"/>
      <c r="L115" s="219"/>
      <c r="M115" s="205">
        <f t="shared" ref="M115:M116" si="207">N115+O115</f>
        <v>398.92399999999998</v>
      </c>
      <c r="N115" s="205">
        <v>398.92399999999998</v>
      </c>
      <c r="O115" s="206"/>
      <c r="P115" s="206">
        <f t="shared" si="199"/>
        <v>99.730999999999995</v>
      </c>
      <c r="Q115" s="201"/>
      <c r="R115" s="206">
        <f t="shared" si="200"/>
        <v>99.730999999999995</v>
      </c>
    </row>
    <row r="116" spans="1:18">
      <c r="A116" s="225"/>
      <c r="B116" s="226" t="s">
        <v>375</v>
      </c>
      <c r="C116" s="205">
        <f t="shared" si="201"/>
        <v>7</v>
      </c>
      <c r="D116" s="219"/>
      <c r="E116" s="205">
        <v>7</v>
      </c>
      <c r="F116" s="205">
        <f t="shared" si="202"/>
        <v>7</v>
      </c>
      <c r="G116" s="219">
        <f t="shared" si="203"/>
        <v>0</v>
      </c>
      <c r="H116" s="205">
        <f t="shared" si="204"/>
        <v>7</v>
      </c>
      <c r="I116" s="205">
        <f t="shared" si="205"/>
        <v>7</v>
      </c>
      <c r="J116" s="219"/>
      <c r="K116" s="219"/>
      <c r="L116" s="219"/>
      <c r="M116" s="205">
        <f t="shared" si="207"/>
        <v>7</v>
      </c>
      <c r="N116" s="205">
        <v>7</v>
      </c>
      <c r="O116" s="206"/>
      <c r="P116" s="206"/>
      <c r="Q116" s="201"/>
      <c r="R116" s="206"/>
    </row>
    <row r="117" spans="1:18">
      <c r="A117" s="199" t="s">
        <v>441</v>
      </c>
      <c r="B117" s="74" t="s">
        <v>218</v>
      </c>
      <c r="C117" s="219">
        <f t="shared" ref="C117:O117" si="208">SUM(C118:C118)</f>
        <v>18</v>
      </c>
      <c r="D117" s="219">
        <f t="shared" si="208"/>
        <v>0</v>
      </c>
      <c r="E117" s="219">
        <f t="shared" si="208"/>
        <v>18</v>
      </c>
      <c r="F117" s="219">
        <f t="shared" si="208"/>
        <v>18</v>
      </c>
      <c r="G117" s="219">
        <f t="shared" si="208"/>
        <v>0</v>
      </c>
      <c r="H117" s="219">
        <f t="shared" si="208"/>
        <v>18</v>
      </c>
      <c r="I117" s="219">
        <f t="shared" si="208"/>
        <v>18</v>
      </c>
      <c r="J117" s="219">
        <f t="shared" si="208"/>
        <v>0</v>
      </c>
      <c r="K117" s="219">
        <f t="shared" si="208"/>
        <v>0</v>
      </c>
      <c r="L117" s="219">
        <f t="shared" si="208"/>
        <v>0</v>
      </c>
      <c r="M117" s="219">
        <f t="shared" si="208"/>
        <v>18</v>
      </c>
      <c r="N117" s="219">
        <f t="shared" si="208"/>
        <v>18</v>
      </c>
      <c r="O117" s="201">
        <f t="shared" si="208"/>
        <v>0</v>
      </c>
      <c r="P117" s="201">
        <f t="shared" ref="P117" si="209">F117/C117*100</f>
        <v>100</v>
      </c>
      <c r="Q117" s="201"/>
      <c r="R117" s="201">
        <f t="shared" ref="R117" si="210">H117/E117*100</f>
        <v>100</v>
      </c>
    </row>
    <row r="118" spans="1:18">
      <c r="A118" s="225"/>
      <c r="B118" s="226" t="s">
        <v>375</v>
      </c>
      <c r="C118" s="205">
        <f t="shared" ref="C118" si="211">D118+E118</f>
        <v>18</v>
      </c>
      <c r="D118" s="219"/>
      <c r="E118" s="205">
        <v>18</v>
      </c>
      <c r="F118" s="205">
        <f t="shared" ref="F118" si="212">G118+H118</f>
        <v>18</v>
      </c>
      <c r="G118" s="219">
        <f t="shared" ref="G118" si="213">J118</f>
        <v>0</v>
      </c>
      <c r="H118" s="205">
        <f t="shared" ref="H118" si="214">M118</f>
        <v>18</v>
      </c>
      <c r="I118" s="205">
        <f t="shared" ref="I118" si="215">J118+M118</f>
        <v>18</v>
      </c>
      <c r="J118" s="219"/>
      <c r="K118" s="219"/>
      <c r="L118" s="219"/>
      <c r="M118" s="205">
        <f t="shared" ref="M118" si="216">N118+O118</f>
        <v>18</v>
      </c>
      <c r="N118" s="205">
        <v>18</v>
      </c>
      <c r="O118" s="206"/>
      <c r="P118" s="206"/>
      <c r="Q118" s="201"/>
      <c r="R118" s="206"/>
    </row>
  </sheetData>
  <mergeCells count="35">
    <mergeCell ref="A5:A11"/>
    <mergeCell ref="B5:B11"/>
    <mergeCell ref="C6:C11"/>
    <mergeCell ref="F6:F11"/>
    <mergeCell ref="P6:P11"/>
    <mergeCell ref="D7:D11"/>
    <mergeCell ref="E7:E11"/>
    <mergeCell ref="G7:G11"/>
    <mergeCell ref="H7:H11"/>
    <mergeCell ref="I7:I11"/>
    <mergeCell ref="J8:J11"/>
    <mergeCell ref="K8:L8"/>
    <mergeCell ref="M8:M11"/>
    <mergeCell ref="N8:O8"/>
    <mergeCell ref="K9:K11"/>
    <mergeCell ref="L9:L11"/>
    <mergeCell ref="P1:R1"/>
    <mergeCell ref="A2:R2"/>
    <mergeCell ref="A3:R3"/>
    <mergeCell ref="N4:O4"/>
    <mergeCell ref="P4:R4"/>
    <mergeCell ref="A1:B1"/>
    <mergeCell ref="C5:E5"/>
    <mergeCell ref="F5:O5"/>
    <mergeCell ref="P5:R5"/>
    <mergeCell ref="D6:E6"/>
    <mergeCell ref="G6:H6"/>
    <mergeCell ref="I6:O6"/>
    <mergeCell ref="Q6:R6"/>
    <mergeCell ref="J7:L7"/>
    <mergeCell ref="M7:O7"/>
    <mergeCell ref="Q7:Q11"/>
    <mergeCell ref="R7:R11"/>
    <mergeCell ref="N9:N11"/>
    <mergeCell ref="O9:O11"/>
  </mergeCells>
  <printOptions horizontalCentered="1"/>
  <pageMargins left="0.24" right="0.16" top="0.3" bottom="0.5" header="0.2" footer="0.2"/>
  <pageSetup paperSize="9" scale="63" orientation="landscape" verticalDpi="0" r:id="rId1"/>
  <headerFooter>
    <oddFooter>&amp;F&amp;RPage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BIEU 96</vt:lpstr>
      <vt:lpstr>BIEU 97</vt:lpstr>
      <vt:lpstr>BIEU 98</vt:lpstr>
      <vt:lpstr>BIEU 99</vt:lpstr>
      <vt:lpstr>BIEU 100</vt:lpstr>
      <vt:lpstr>BIEU 101</vt:lpstr>
      <vt:lpstr>BIEU 102</vt:lpstr>
      <vt:lpstr>'BIEU 100'!Print_Titles</vt:lpstr>
      <vt:lpstr>'BIEU 102'!Print_Titles</vt:lpstr>
      <vt:lpstr>'BIEU 97'!Print_Titles</vt:lpstr>
      <vt:lpstr>'BIEU 98'!Print_Titles</vt:lpstr>
      <vt:lpstr>'BIEU 99'!Print_Titles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trannamdt1</dc:creator>
  <cp:lastModifiedBy>andongnhi</cp:lastModifiedBy>
  <cp:lastPrinted>2024-07-13T04:31:12Z</cp:lastPrinted>
  <dcterms:created xsi:type="dcterms:W3CDTF">2018-07-12T09:05:00Z</dcterms:created>
  <dcterms:modified xsi:type="dcterms:W3CDTF">2024-07-13T04:32:36Z</dcterms:modified>
</cp:coreProperties>
</file>